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4D902F9E-A05F-4431-9758-5FC69D349F3F}"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4" l="1"/>
  <c r="E68" i="4"/>
  <c r="AD199" i="20" l="1"/>
  <c r="AA919" i="3"/>
  <c r="AA91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R49" i="21" s="1" a="1"/>
  <c r="R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U45" i="21"/>
  <c r="S45" i="21"/>
  <c r="S47" i="21"/>
  <c r="T49" i="21"/>
  <c r="S49" i="21"/>
  <c r="P49" i="21" a="1"/>
  <c r="P49" i="21" s="1"/>
  <c r="O50" i="21"/>
  <c r="U47" i="21"/>
  <c r="R47" i="21" a="1"/>
  <c r="R47" i="21" s="1"/>
  <c r="U51" i="21"/>
  <c r="R51" i="21" a="1"/>
  <c r="R51" i="21" s="1"/>
  <c r="P51" i="21" a="1"/>
  <c r="P51" i="21" s="1"/>
  <c r="O51" i="21"/>
  <c r="T47" i="21"/>
  <c r="O49" i="21"/>
  <c r="T53" i="21"/>
  <c r="R53" i="21" a="1"/>
  <c r="R53" i="21" s="1"/>
  <c r="P48" i="21" a="1"/>
  <c r="P48" i="21" s="1"/>
  <c r="S46" i="21"/>
  <c r="U50" i="21"/>
  <c r="P52" i="21" a="1"/>
  <c r="P52" i="21" s="1"/>
  <c r="S50" i="21"/>
  <c r="P50" i="21" a="1"/>
  <c r="P50" i="21" s="1"/>
  <c r="U48" i="21"/>
  <c r="T48" i="21"/>
  <c r="S48" i="21"/>
  <c r="R48" i="21" a="1"/>
  <c r="R48" i="21" s="1"/>
  <c r="T46" i="21"/>
  <c r="S52" i="21"/>
  <c r="T45" i="21"/>
  <c r="U53" i="21"/>
  <c r="T51" i="21"/>
  <c r="U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6" i="4"/>
  <c r="R67" i="4"/>
  <c r="R68" i="4"/>
  <c r="A104" i="11"/>
  <c r="C101" i="11"/>
  <c r="C102" i="11"/>
  <c r="C103" i="11"/>
  <c r="C104" i="11"/>
  <c r="B101" i="11"/>
  <c r="B102" i="11"/>
  <c r="B103" i="11"/>
  <c r="B104" i="11"/>
  <c r="C88" i="11"/>
  <c r="C93" i="11"/>
  <c r="C96" i="11"/>
  <c r="B88" i="11"/>
  <c r="B93" i="11"/>
  <c r="B96" i="11"/>
  <c r="A70" i="11"/>
  <c r="C67" i="11"/>
  <c r="C68" i="11"/>
  <c r="C69" i="11"/>
  <c r="B67" i="11"/>
  <c r="B68" i="11"/>
  <c r="B69" i="11"/>
  <c r="A62" i="11"/>
  <c r="A54" i="11"/>
  <c r="A38" i="11"/>
  <c r="A26" i="11"/>
  <c r="C33" i="11"/>
  <c r="C35" i="11"/>
  <c r="C37" i="11"/>
  <c r="B33" i="11"/>
  <c r="B35" i="11"/>
  <c r="B37"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I96" i="13"/>
  <c r="J96" i="13"/>
  <c r="J81" i="13"/>
  <c r="I81" i="13"/>
  <c r="G81" i="13"/>
  <c r="D81" i="13"/>
  <c r="H80" i="13"/>
  <c r="E80" i="13"/>
  <c r="F80" i="13" s="1"/>
  <c r="S70" i="4"/>
  <c r="E70" i="13" s="1"/>
  <c r="D81" i="4"/>
  <c r="F81" i="4"/>
  <c r="G81" i="4"/>
  <c r="H81" i="4"/>
  <c r="I81" i="4"/>
  <c r="J81" i="4"/>
  <c r="K81" i="4"/>
  <c r="L81" i="4"/>
  <c r="M81" i="4"/>
  <c r="N81" i="4"/>
  <c r="O81" i="4"/>
  <c r="P81" i="4"/>
  <c r="Q81" i="4"/>
  <c r="S81" i="4"/>
  <c r="E81" i="13" s="1"/>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E91" i="13"/>
  <c r="E90" i="13"/>
  <c r="F90" i="13" s="1"/>
  <c r="E89" i="13"/>
  <c r="F89" i="13" s="1"/>
  <c r="E87" i="13"/>
  <c r="E86" i="13"/>
  <c r="F86" i="13" s="1"/>
  <c r="E85" i="13"/>
  <c r="F85" i="13" s="1"/>
  <c r="E84" i="13"/>
  <c r="F84" i="13" s="1"/>
  <c r="E79" i="13"/>
  <c r="F79" i="13" s="1"/>
  <c r="E65" i="13"/>
  <c r="F65" i="13" s="1"/>
  <c r="E53" i="13"/>
  <c r="F53" i="13" s="1"/>
  <c r="E52" i="13"/>
  <c r="F52" i="13" s="1"/>
  <c r="E51" i="13"/>
  <c r="E50" i="13"/>
  <c r="F50" i="13" s="1"/>
  <c r="E49" i="13"/>
  <c r="E48" i="13"/>
  <c r="F48" i="13" s="1"/>
  <c r="E47" i="13"/>
  <c r="F47" i="13" s="1"/>
  <c r="E46" i="13"/>
  <c r="F46" i="13" s="1"/>
  <c r="E45" i="13"/>
  <c r="F45" i="13" s="1"/>
  <c r="E43" i="13"/>
  <c r="F43" i="13" s="1"/>
  <c r="E41" i="13"/>
  <c r="F41" i="13" s="1"/>
  <c r="E40" i="13"/>
  <c r="F40" i="13" s="1"/>
  <c r="E37" i="13"/>
  <c r="F37" i="13" s="1"/>
  <c r="E35" i="13"/>
  <c r="F35" i="13" s="1"/>
  <c r="E34" i="13"/>
  <c r="E33" i="13"/>
  <c r="F33" i="13" s="1"/>
  <c r="E32" i="13"/>
  <c r="E31" i="13"/>
  <c r="F31" i="13" s="1"/>
  <c r="E30" i="13"/>
  <c r="F30" i="13" s="1"/>
  <c r="E29" i="13"/>
  <c r="F29" i="13" s="1"/>
  <c r="E27" i="13"/>
  <c r="E25" i="13"/>
  <c r="E23" i="13"/>
  <c r="E22" i="13"/>
  <c r="E21" i="13"/>
  <c r="E20" i="13"/>
  <c r="E19" i="13"/>
  <c r="E18" i="13"/>
  <c r="E17" i="13"/>
  <c r="E15" i="13"/>
  <c r="E14" i="13"/>
  <c r="F14" i="13" s="1"/>
  <c r="E13" i="13"/>
  <c r="F13" i="13" s="1"/>
  <c r="E10" i="13"/>
  <c r="B95" i="13"/>
  <c r="B92" i="13"/>
  <c r="B87" i="13"/>
  <c r="B76" i="13"/>
  <c r="B74" i="13"/>
  <c r="B73" i="13"/>
  <c r="B72" i="13"/>
  <c r="B60" i="13"/>
  <c r="B59" i="13"/>
  <c r="B49" i="13"/>
  <c r="B34" i="13"/>
  <c r="C34" i="13" s="1"/>
  <c r="B32" i="13"/>
  <c r="B27" i="13"/>
  <c r="B25" i="13"/>
  <c r="B23" i="13"/>
  <c r="B22" i="13"/>
  <c r="B21" i="13"/>
  <c r="B20" i="13"/>
  <c r="B19" i="13"/>
  <c r="B18" i="13"/>
  <c r="B17" i="13"/>
  <c r="B5" i="13"/>
  <c r="B6" i="13"/>
  <c r="B7" i="13"/>
  <c r="C8" i="4"/>
  <c r="B8" i="13" s="1"/>
  <c r="B9" i="13"/>
  <c r="B10"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R92" i="4"/>
  <c r="R87" i="4"/>
  <c r="R76" i="4"/>
  <c r="R72" i="4"/>
  <c r="R73" i="4"/>
  <c r="R74" i="4"/>
  <c r="R60" i="4"/>
  <c r="R59" i="4"/>
  <c r="R49" i="4"/>
  <c r="R34" i="4"/>
  <c r="R32"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6" i="11"/>
  <c r="C16" i="11"/>
  <c r="B18" i="11"/>
  <c r="C18" i="11"/>
  <c r="B19" i="11"/>
  <c r="C19" i="11"/>
  <c r="B20" i="11"/>
  <c r="C20" i="11"/>
  <c r="B21" i="11"/>
  <c r="C21" i="11"/>
  <c r="B22" i="11"/>
  <c r="C22" i="11"/>
  <c r="B23" i="11"/>
  <c r="C23" i="11"/>
  <c r="B24" i="11"/>
  <c r="B28" i="11"/>
  <c r="C28" i="11"/>
  <c r="B50" i="11"/>
  <c r="C50"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2" i="4"/>
  <c r="B34" i="4"/>
  <c r="H38" i="4"/>
  <c r="K38" i="4"/>
  <c r="L38" i="4"/>
  <c r="O38" i="4"/>
  <c r="P38" i="4"/>
  <c r="P42" i="4"/>
  <c r="P54" i="4"/>
  <c r="P62" i="4"/>
  <c r="P70" i="4"/>
  <c r="P77" i="4"/>
  <c r="P96" i="4"/>
  <c r="P104" i="4"/>
  <c r="Q38" i="4"/>
  <c r="G42" i="4"/>
  <c r="H42" i="4"/>
  <c r="K42" i="4"/>
  <c r="L42" i="4"/>
  <c r="O42" i="4"/>
  <c r="Q42" i="4"/>
  <c r="B49"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B95" i="4"/>
  <c r="F96" i="4"/>
  <c r="G96" i="4"/>
  <c r="H96" i="4"/>
  <c r="I96" i="4"/>
  <c r="K96" i="4"/>
  <c r="L96" i="4"/>
  <c r="Q96" i="4"/>
  <c r="B101" i="4"/>
  <c r="B102" i="4"/>
  <c r="B103" i="4"/>
  <c r="F104" i="4"/>
  <c r="I104" i="4"/>
  <c r="K104" i="4"/>
  <c r="L104" i="4"/>
  <c r="Q104"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F70" i="13" l="1"/>
  <c r="F42" i="13"/>
  <c r="F81" i="13"/>
  <c r="F38" i="13"/>
  <c r="F54" i="13"/>
  <c r="F96" i="13"/>
  <c r="D35" i="11"/>
  <c r="B26" i="4"/>
  <c r="D103" i="11"/>
  <c r="D6" i="11"/>
  <c r="D25" i="11"/>
  <c r="D93" i="11"/>
  <c r="D101" i="11"/>
  <c r="D33" i="11"/>
  <c r="D96" i="11"/>
  <c r="D88" i="11"/>
  <c r="D104" i="11"/>
  <c r="B8" i="4"/>
  <c r="N189" i="23" s="1"/>
  <c r="C12" i="4"/>
  <c r="B12" i="13" s="1"/>
  <c r="D75" i="11"/>
  <c r="L12" i="4"/>
  <c r="H12" i="4"/>
  <c r="D20" i="11"/>
  <c r="D8" i="11"/>
  <c r="D12" i="13"/>
  <c r="D74" i="11"/>
  <c r="C12" i="13"/>
  <c r="D77" i="11"/>
  <c r="D73" i="11"/>
  <c r="D50" i="11"/>
  <c r="D21" i="11"/>
  <c r="D16" i="11"/>
  <c r="B12" i="11"/>
  <c r="D5" i="11"/>
  <c r="D28" i="11"/>
  <c r="N63" i="4"/>
  <c r="N97" i="4" s="1"/>
  <c r="N105" i="4" s="1"/>
  <c r="E12" i="4"/>
  <c r="D12" i="4"/>
  <c r="F12" i="4"/>
  <c r="D11" i="11"/>
  <c r="D24" i="11"/>
  <c r="O12" i="4"/>
  <c r="D10" i="11"/>
  <c r="BA1058" i="3"/>
  <c r="Q12" i="4"/>
  <c r="K12" i="4"/>
  <c r="D61" i="11"/>
  <c r="B9" i="11"/>
  <c r="J12" i="4"/>
  <c r="D22" i="11"/>
  <c r="O63" i="4"/>
  <c r="O97" i="4" s="1"/>
  <c r="O105" i="4" s="1"/>
  <c r="M63" i="4"/>
  <c r="M97" i="4" s="1"/>
  <c r="M105" i="4" s="1"/>
  <c r="N12" i="4"/>
  <c r="I12" i="4"/>
  <c r="D102" i="11"/>
  <c r="P63" i="4"/>
  <c r="P97" i="4" s="1"/>
  <c r="P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R8" i="4"/>
  <c r="G63" i="13"/>
  <c r="G97" i="13" s="1"/>
  <c r="G105" i="13" s="1"/>
  <c r="G107" i="13" s="1"/>
  <c r="M53" i="7"/>
  <c r="K58" i="7"/>
  <c r="C27" i="11"/>
  <c r="H63" i="4"/>
  <c r="H97" i="4" s="1"/>
  <c r="I58" i="7"/>
  <c r="C9" i="11"/>
  <c r="T63" i="4"/>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AJ621" i="20"/>
  <c r="AK794" i="20" s="1"/>
  <c r="T819" i="20" s="1"/>
  <c r="AF819" i="20" s="1"/>
  <c r="BE82" i="3" s="1"/>
  <c r="G94" i="21"/>
  <c r="B12" i="4"/>
  <c r="R12" i="4"/>
  <c r="D12" i="11"/>
  <c r="B13" i="11"/>
  <c r="D27" i="11"/>
  <c r="T97" i="4"/>
  <c r="H63" i="13"/>
  <c r="AO39" i="20"/>
  <c r="AK62" i="20" s="1"/>
  <c r="T804" i="20" s="1"/>
  <c r="AF804" i="20" s="1"/>
  <c r="BE71" i="3" s="1"/>
  <c r="E63" i="13"/>
  <c r="S97" i="4"/>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P28" i="21" s="1" a="1"/>
  <c r="P28" i="21" s="1"/>
  <c r="S28" i="21" s="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T805" i="20" s="1"/>
  <c r="AF805" i="20" s="1"/>
  <c r="BE72" i="3" s="1"/>
  <c r="D13" i="11"/>
  <c r="AZ1046" i="3"/>
  <c r="S105" i="4"/>
  <c r="E97" i="13"/>
  <c r="O58" i="7"/>
  <c r="Q53" i="7"/>
  <c r="T105" i="4"/>
  <c r="H97" i="13"/>
  <c r="P29" i="21" a="1"/>
  <c r="P29" i="21" s="1"/>
  <c r="S29" i="21" s="1"/>
  <c r="P31" i="21" a="1"/>
  <c r="P31" i="21" s="1"/>
  <c r="S31" i="21" s="1"/>
  <c r="P30" i="21" a="1"/>
  <c r="P30" i="21" s="1"/>
  <c r="S30"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S107" i="4"/>
  <c r="E105" i="13"/>
  <c r="BA1056" i="3"/>
  <c r="AZ1051" i="3"/>
  <c r="H105" i="13"/>
  <c r="T107" i="4"/>
  <c r="H107" i="13" s="1"/>
  <c r="Q58" i="7"/>
  <c r="S53" i="7"/>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AJ1041" i="3"/>
  <c r="AJ1007" i="3"/>
  <c r="AJ1029" i="3"/>
  <c r="AJ1036" i="3"/>
  <c r="I15" i="21" s="1"/>
  <c r="BA1055" i="3"/>
  <c r="BA1059" i="3" s="1"/>
  <c r="S58" i="7"/>
  <c r="U53" i="7"/>
  <c r="AA1056" i="3"/>
  <c r="AF551" i="20"/>
  <c r="E107" i="13"/>
  <c r="AJ1045" i="3"/>
  <c r="AJ1049" i="3"/>
  <c r="AP553" i="20" s="1"/>
  <c r="AP550" i="20"/>
  <c r="K4" i="7"/>
  <c r="M4" i="7" s="1"/>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O4" i="7"/>
  <c r="M5" i="7"/>
  <c r="M6" i="7"/>
  <c r="K7"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O5" i="7"/>
  <c r="Q4" i="7"/>
  <c r="M7" i="7"/>
  <c r="M11" i="7" s="1"/>
  <c r="M37" i="7" s="1"/>
  <c r="O6" i="7"/>
  <c r="G101" i="21"/>
  <c r="G113" i="21"/>
  <c r="G97" i="21"/>
  <c r="S22" i="7"/>
  <c r="S35" i="7" s="1"/>
  <c r="U15" i="7"/>
  <c r="U8" i="7"/>
  <c r="S9" i="7"/>
  <c r="AA53" i="7" l="1"/>
  <c r="Y58" i="7"/>
  <c r="AD38" i="15"/>
  <c r="AD40" i="15" s="1"/>
  <c r="Y41" i="15" s="1"/>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E103" i="20"/>
  <c r="E106" i="20" s="1"/>
  <c r="AP106" i="20" s="1"/>
  <c r="AK109" i="20" s="1"/>
  <c r="T806" i="20" s="1"/>
  <c r="AF806" i="20" s="1"/>
  <c r="BE73" i="3" l="1"/>
  <c r="H3" i="21"/>
  <c r="I9" i="21" l="1"/>
  <c r="BE21" i="3"/>
  <c r="G144" i="21" l="1"/>
  <c r="G143" i="21"/>
  <c r="T554" i="3" l="1"/>
  <c r="T627" i="3"/>
  <c r="T555" i="3"/>
  <c r="E58" i="4" l="1"/>
  <c r="R58" i="4" s="1"/>
  <c r="E93" i="4"/>
  <c r="R93" i="4" s="1"/>
  <c r="T556" i="3"/>
  <c r="E48" i="4"/>
  <c r="R48" i="4" s="1"/>
  <c r="C94" i="11" l="1"/>
  <c r="B94" i="11"/>
  <c r="B93" i="4"/>
  <c r="B93" i="13"/>
  <c r="C93" i="13" s="1"/>
  <c r="B58" i="4"/>
  <c r="B59" i="11"/>
  <c r="C59" i="11"/>
  <c r="B58" i="13"/>
  <c r="C58" i="13" s="1"/>
  <c r="B49" i="11"/>
  <c r="B48" i="13"/>
  <c r="C48" i="13" s="1"/>
  <c r="C49" i="11"/>
  <c r="B48" i="4"/>
  <c r="E52" i="4"/>
  <c r="R52" i="4" s="1"/>
  <c r="E69" i="4"/>
  <c r="R69" i="4" s="1"/>
  <c r="E88" i="4"/>
  <c r="R88" i="4" s="1"/>
  <c r="E47" i="4"/>
  <c r="R47" i="4" s="1"/>
  <c r="E29" i="4"/>
  <c r="R29" i="4" s="1"/>
  <c r="E50" i="4"/>
  <c r="R50" i="4" s="1"/>
  <c r="E91" i="4"/>
  <c r="R91" i="4" s="1"/>
  <c r="E65" i="4"/>
  <c r="E83" i="4"/>
  <c r="E51" i="4"/>
  <c r="R51" i="4" s="1"/>
  <c r="G108" i="4"/>
  <c r="E94" i="4"/>
  <c r="R94" i="4" s="1"/>
  <c r="D94" i="11" l="1"/>
  <c r="G38" i="4"/>
  <c r="G63" i="4" s="1"/>
  <c r="G97" i="4" s="1"/>
  <c r="G99" i="4"/>
  <c r="R65" i="4"/>
  <c r="R70" i="4" s="1"/>
  <c r="E70" i="4"/>
  <c r="R83" i="4"/>
  <c r="D49" i="11"/>
  <c r="D59" i="11"/>
  <c r="B84" i="11"/>
  <c r="C84" i="11"/>
  <c r="B83" i="4"/>
  <c r="B83" i="13"/>
  <c r="C83" i="13" s="1"/>
  <c r="B66" i="11"/>
  <c r="C66" i="11"/>
  <c r="B65" i="4"/>
  <c r="C70" i="4"/>
  <c r="B65" i="13"/>
  <c r="C65" i="13" s="1"/>
  <c r="B88" i="13"/>
  <c r="C88" i="13" s="1"/>
  <c r="C89" i="11"/>
  <c r="B89" i="11"/>
  <c r="B88" i="4"/>
  <c r="B91" i="13"/>
  <c r="C91" i="13" s="1"/>
  <c r="C92" i="11"/>
  <c r="B92" i="11"/>
  <c r="B91" i="4"/>
  <c r="B69" i="4"/>
  <c r="B70" i="11"/>
  <c r="C70" i="11"/>
  <c r="B69" i="13"/>
  <c r="C69" i="13" s="1"/>
  <c r="B94" i="13"/>
  <c r="C94" i="13" s="1"/>
  <c r="B94" i="4"/>
  <c r="C95" i="11"/>
  <c r="B95" i="11"/>
  <c r="B51" i="11"/>
  <c r="B50" i="13"/>
  <c r="C50" i="13" s="1"/>
  <c r="C51" i="11"/>
  <c r="B50" i="4"/>
  <c r="B51" i="13"/>
  <c r="C51" i="13" s="1"/>
  <c r="B52" i="11"/>
  <c r="B51" i="4"/>
  <c r="C52" i="11"/>
  <c r="B52" i="4"/>
  <c r="B52" i="13"/>
  <c r="C52" i="13" s="1"/>
  <c r="B53" i="11"/>
  <c r="C53" i="11"/>
  <c r="C30" i="11"/>
  <c r="B29" i="4"/>
  <c r="B29" i="13"/>
  <c r="C29" i="13" s="1"/>
  <c r="B30" i="11"/>
  <c r="C48" i="11"/>
  <c r="B47" i="13"/>
  <c r="C47" i="13" s="1"/>
  <c r="B47" i="4"/>
  <c r="B48" i="11"/>
  <c r="E40" i="4"/>
  <c r="E90" i="4"/>
  <c r="R90" i="4" s="1"/>
  <c r="E85" i="4"/>
  <c r="R85" i="4" s="1"/>
  <c r="E86" i="4"/>
  <c r="R86" i="4" s="1"/>
  <c r="E89" i="4"/>
  <c r="R89" i="4" s="1"/>
  <c r="E41" i="4"/>
  <c r="R41" i="4" s="1"/>
  <c r="E46" i="4"/>
  <c r="R46" i="4" s="1"/>
  <c r="C70" i="13" l="1"/>
  <c r="E42" i="4"/>
  <c r="R40" i="4"/>
  <c r="R42" i="4" s="1"/>
  <c r="D52" i="11"/>
  <c r="B71" i="11"/>
  <c r="D53" i="11"/>
  <c r="D89" i="11"/>
  <c r="B89" i="13"/>
  <c r="C89" i="13" s="1"/>
  <c r="C90" i="11"/>
  <c r="B90" i="11"/>
  <c r="B89" i="4"/>
  <c r="C86" i="11"/>
  <c r="B86" i="11"/>
  <c r="B85" i="4"/>
  <c r="B85" i="13"/>
  <c r="C85" i="13" s="1"/>
  <c r="D70" i="11"/>
  <c r="B70" i="13"/>
  <c r="B70" i="4"/>
  <c r="B90" i="13"/>
  <c r="C90" i="13" s="1"/>
  <c r="C91" i="11"/>
  <c r="B91" i="11"/>
  <c r="B90" i="4"/>
  <c r="D66" i="11"/>
  <c r="C71" i="11"/>
  <c r="D92" i="11"/>
  <c r="C87" i="11"/>
  <c r="B87" i="11"/>
  <c r="B86" i="4"/>
  <c r="B86" i="13"/>
  <c r="C86" i="13" s="1"/>
  <c r="D84" i="11"/>
  <c r="D95" i="11"/>
  <c r="D51" i="11"/>
  <c r="B41" i="13"/>
  <c r="C41" i="13" s="1"/>
  <c r="C42" i="11"/>
  <c r="B42" i="11"/>
  <c r="B41" i="4"/>
  <c r="B46" i="4"/>
  <c r="B46" i="13"/>
  <c r="C46" i="13" s="1"/>
  <c r="B47" i="11"/>
  <c r="C47" i="11"/>
  <c r="D48" i="11"/>
  <c r="B40" i="13"/>
  <c r="C40" i="13" s="1"/>
  <c r="B41" i="11"/>
  <c r="C42" i="4"/>
  <c r="C41" i="11"/>
  <c r="B40" i="4"/>
  <c r="D30" i="11"/>
  <c r="C14" i="11"/>
  <c r="B13" i="4"/>
  <c r="B13" i="13"/>
  <c r="C13" i="13" s="1"/>
  <c r="B14" i="11"/>
  <c r="E43" i="4"/>
  <c r="R43" i="4" s="1"/>
  <c r="E84" i="4"/>
  <c r="D47" i="11" l="1"/>
  <c r="R84" i="4"/>
  <c r="R96" i="4" s="1"/>
  <c r="E96" i="4"/>
  <c r="D71" i="11"/>
  <c r="C42" i="13"/>
  <c r="D87" i="11"/>
  <c r="N188" i="23"/>
  <c r="N195" i="23" s="1"/>
  <c r="D86" i="11"/>
  <c r="C85" i="11"/>
  <c r="B85" i="11"/>
  <c r="B97" i="11" s="1"/>
  <c r="B84" i="4"/>
  <c r="B84" i="13"/>
  <c r="C84" i="13" s="1"/>
  <c r="C96" i="13" s="1"/>
  <c r="C96" i="4"/>
  <c r="D90" i="11"/>
  <c r="D91" i="11"/>
  <c r="B43" i="11"/>
  <c r="B43" i="4"/>
  <c r="B44" i="11"/>
  <c r="C44" i="11"/>
  <c r="B43" i="13"/>
  <c r="C43" i="13" s="1"/>
  <c r="D41" i="11"/>
  <c r="C43" i="11"/>
  <c r="D42" i="11"/>
  <c r="B42" i="13"/>
  <c r="B42" i="4"/>
  <c r="Q393" i="3"/>
  <c r="D14" i="11"/>
  <c r="D44" i="11" l="1"/>
  <c r="B96" i="13"/>
  <c r="B96" i="4"/>
  <c r="D85" i="11"/>
  <c r="C97" i="11"/>
  <c r="D97" i="11" s="1"/>
  <c r="D43" i="11"/>
  <c r="B14" i="13"/>
  <c r="C14" i="13" s="1"/>
  <c r="B15" i="11"/>
  <c r="C15" i="11"/>
  <c r="B14" i="4"/>
  <c r="D15" i="11" l="1"/>
  <c r="E31" i="4" l="1"/>
  <c r="R31" i="4" s="1"/>
  <c r="B32" i="11" l="1"/>
  <c r="B31" i="4"/>
  <c r="C32" i="11"/>
  <c r="B31" i="13"/>
  <c r="C31" i="13" s="1"/>
  <c r="D32" i="11" l="1"/>
  <c r="E80" i="4"/>
  <c r="R80" i="4" s="1"/>
  <c r="B80" i="4" l="1"/>
  <c r="C81" i="11"/>
  <c r="B80" i="13"/>
  <c r="C80" i="13" s="1"/>
  <c r="B81" i="11"/>
  <c r="D81" i="11" l="1"/>
  <c r="E40" i="7" l="1"/>
  <c r="AA40" i="7" l="1"/>
  <c r="AA43" i="7" s="1"/>
  <c r="AC40" i="7"/>
  <c r="AC43" i="7" s="1"/>
  <c r="Y40" i="7"/>
  <c r="Y43" i="7" s="1"/>
  <c r="G40" i="7"/>
  <c r="G43" i="7" s="1"/>
  <c r="I40" i="7"/>
  <c r="I43" i="7" s="1"/>
  <c r="M40" i="7"/>
  <c r="M43" i="7" s="1"/>
  <c r="AG40" i="7"/>
  <c r="AG43" i="7" s="1"/>
  <c r="S40" i="7"/>
  <c r="S43" i="7" s="1"/>
  <c r="K40" i="7"/>
  <c r="K43" i="7" s="1"/>
  <c r="E43" i="7"/>
  <c r="AE40" i="7"/>
  <c r="AE43" i="7" s="1"/>
  <c r="W40" i="7"/>
  <c r="W43" i="7" s="1"/>
  <c r="Q40" i="7"/>
  <c r="Q43" i="7" s="1"/>
  <c r="U40" i="7"/>
  <c r="U43" i="7" s="1"/>
  <c r="O40" i="7"/>
  <c r="O43" i="7" s="1"/>
  <c r="W49" i="7" l="1"/>
  <c r="W45" i="7"/>
  <c r="AE49" i="7"/>
  <c r="AE45" i="7"/>
  <c r="K45" i="7"/>
  <c r="K49" i="7"/>
  <c r="AG49" i="7"/>
  <c r="AG45" i="7"/>
  <c r="M45" i="7"/>
  <c r="M49" i="7"/>
  <c r="E49" i="7"/>
  <c r="E45" i="7"/>
  <c r="S49" i="7"/>
  <c r="S45" i="7"/>
  <c r="I49" i="7"/>
  <c r="I45" i="7"/>
  <c r="G49" i="7"/>
  <c r="G45" i="7"/>
  <c r="O49" i="7"/>
  <c r="O45" i="7"/>
  <c r="Y45" i="7"/>
  <c r="Y49" i="7"/>
  <c r="U49" i="7"/>
  <c r="U45" i="7"/>
  <c r="AC49" i="7"/>
  <c r="AC45" i="7"/>
  <c r="Q49" i="7"/>
  <c r="Q45" i="7"/>
  <c r="AA45" i="7"/>
  <c r="AA49" i="7"/>
  <c r="E75" i="4"/>
  <c r="E77" i="4" l="1"/>
  <c r="R75" i="4"/>
  <c r="R77" i="4" s="1"/>
  <c r="B75" i="13"/>
  <c r="C75" i="13" s="1"/>
  <c r="C77" i="13" s="1"/>
  <c r="B75" i="4"/>
  <c r="C77" i="4"/>
  <c r="B76" i="11"/>
  <c r="B78" i="11" s="1"/>
  <c r="C76" i="11"/>
  <c r="U48" i="7"/>
  <c r="U60" i="7"/>
  <c r="U47" i="7"/>
  <c r="E48" i="7"/>
  <c r="E60" i="7"/>
  <c r="E47" i="7"/>
  <c r="Y47" i="7"/>
  <c r="Y60" i="7"/>
  <c r="Y48" i="7"/>
  <c r="M48" i="7"/>
  <c r="M60" i="7"/>
  <c r="M47" i="7"/>
  <c r="O60" i="7"/>
  <c r="O47" i="7"/>
  <c r="O48" i="7"/>
  <c r="AG48" i="7"/>
  <c r="AG60" i="7"/>
  <c r="AG47" i="7"/>
  <c r="G47" i="7"/>
  <c r="G48" i="7"/>
  <c r="G60" i="7"/>
  <c r="AA60" i="7"/>
  <c r="AA47" i="7"/>
  <c r="AA48" i="7"/>
  <c r="K47" i="7"/>
  <c r="K60" i="7"/>
  <c r="K48" i="7"/>
  <c r="Q47" i="7"/>
  <c r="Q60" i="7"/>
  <c r="Q48" i="7"/>
  <c r="I48" i="7"/>
  <c r="I47" i="7"/>
  <c r="I60" i="7"/>
  <c r="AE60" i="7"/>
  <c r="AE47" i="7"/>
  <c r="AE48" i="7"/>
  <c r="AC60" i="7"/>
  <c r="AC48" i="7"/>
  <c r="AC47" i="7"/>
  <c r="S47" i="7"/>
  <c r="S60" i="7"/>
  <c r="S48" i="7"/>
  <c r="W48" i="7"/>
  <c r="W60" i="7"/>
  <c r="W47" i="7"/>
  <c r="E57" i="4"/>
  <c r="R57" i="4" s="1"/>
  <c r="B57" i="4" l="1"/>
  <c r="B58" i="11"/>
  <c r="C58" i="11"/>
  <c r="B57" i="13"/>
  <c r="C57" i="13" s="1"/>
  <c r="C78" i="11"/>
  <c r="D78" i="11" s="1"/>
  <c r="D76" i="11"/>
  <c r="B77" i="13"/>
  <c r="B77" i="4"/>
  <c r="M66" i="7"/>
  <c r="M62" i="7"/>
  <c r="M67" i="7"/>
  <c r="AE66" i="7"/>
  <c r="AE67" i="7"/>
  <c r="AA66" i="7"/>
  <c r="AA67" i="7"/>
  <c r="I66" i="7"/>
  <c r="I67" i="7"/>
  <c r="I62" i="7"/>
  <c r="G62" i="7"/>
  <c r="G67" i="7"/>
  <c r="G66" i="7"/>
  <c r="W62" i="7"/>
  <c r="W67" i="7"/>
  <c r="W66" i="7"/>
  <c r="Y67" i="7"/>
  <c r="Y66" i="7"/>
  <c r="S67" i="7"/>
  <c r="S66" i="7"/>
  <c r="S62" i="7"/>
  <c r="Q66" i="7"/>
  <c r="Q67" i="7"/>
  <c r="Q62" i="7"/>
  <c r="AG66" i="7"/>
  <c r="AG67" i="7"/>
  <c r="E62" i="7"/>
  <c r="E66" i="7"/>
  <c r="E67" i="7"/>
  <c r="K66" i="7"/>
  <c r="K67" i="7"/>
  <c r="K62" i="7"/>
  <c r="U66" i="7"/>
  <c r="U62" i="7"/>
  <c r="U67" i="7"/>
  <c r="AC66" i="7"/>
  <c r="AC67" i="7"/>
  <c r="O66" i="7"/>
  <c r="O62" i="7"/>
  <c r="O67" i="7"/>
  <c r="E56" i="4"/>
  <c r="Y62" i="7" l="1"/>
  <c r="D58" i="11"/>
  <c r="AG70" i="7"/>
  <c r="AG72" i="7" s="1"/>
  <c r="G70" i="7"/>
  <c r="G72" i="7" s="1"/>
  <c r="W70" i="7"/>
  <c r="W72" i="7" s="1"/>
  <c r="AA70" i="7"/>
  <c r="AA72" i="7" s="1"/>
  <c r="U70" i="7"/>
  <c r="U72" i="7" s="1"/>
  <c r="R56" i="4"/>
  <c r="K70" i="7"/>
  <c r="K72" i="7" s="1"/>
  <c r="Q70" i="7"/>
  <c r="Q72" i="7" s="1"/>
  <c r="S70" i="7"/>
  <c r="S72" i="7" s="1"/>
  <c r="E70" i="7"/>
  <c r="E72" i="7" s="1"/>
  <c r="B56" i="13"/>
  <c r="C56" i="13" s="1"/>
  <c r="B57" i="11"/>
  <c r="B56" i="4"/>
  <c r="C57" i="11"/>
  <c r="I70" i="7"/>
  <c r="I72" i="7" s="1"/>
  <c r="N10" i="23"/>
  <c r="F108" i="4"/>
  <c r="F30" i="4" s="1"/>
  <c r="F38" i="4" s="1"/>
  <c r="F63" i="4" s="1"/>
  <c r="F97" i="4" s="1"/>
  <c r="F105" i="4" s="1"/>
  <c r="O70" i="7"/>
  <c r="O72" i="7" s="1"/>
  <c r="Y70" i="7"/>
  <c r="AC70" i="7"/>
  <c r="AC72" i="7" s="1"/>
  <c r="AE70" i="7"/>
  <c r="AE72" i="7" s="1"/>
  <c r="M70" i="7"/>
  <c r="M72" i="7" s="1"/>
  <c r="Y72" i="7" l="1"/>
  <c r="D57" i="11"/>
  <c r="E53" i="4" l="1"/>
  <c r="R53" i="4" s="1"/>
  <c r="B53" i="13" l="1"/>
  <c r="C53" i="13" s="1"/>
  <c r="B53" i="4"/>
  <c r="C54" i="11"/>
  <c r="B54" i="11"/>
  <c r="D54" i="11" l="1"/>
  <c r="E33" i="4" l="1"/>
  <c r="R33" i="4" s="1"/>
  <c r="B31" i="11" l="1"/>
  <c r="B30" i="4"/>
  <c r="E30" i="4" s="1"/>
  <c r="C31" i="11"/>
  <c r="B30" i="13"/>
  <c r="C30" i="13" s="1"/>
  <c r="B34" i="11"/>
  <c r="B33" i="13"/>
  <c r="C33" i="13" s="1"/>
  <c r="B33" i="4"/>
  <c r="C34" i="11"/>
  <c r="D34" i="11" l="1"/>
  <c r="R30" i="4"/>
  <c r="D31" i="11"/>
  <c r="E37" i="4"/>
  <c r="R37" i="4" s="1"/>
  <c r="B37" i="13" l="1"/>
  <c r="C37" i="13" s="1"/>
  <c r="B38" i="11"/>
  <c r="B37" i="4"/>
  <c r="C38" i="11"/>
  <c r="E35" i="4"/>
  <c r="D38" i="11" l="1"/>
  <c r="R35" i="4"/>
  <c r="R38" i="4" s="1"/>
  <c r="E38" i="4"/>
  <c r="B35" i="13"/>
  <c r="C35" i="13" s="1"/>
  <c r="C38" i="13" s="1"/>
  <c r="B36" i="11"/>
  <c r="B39" i="11" s="1"/>
  <c r="B35" i="4"/>
  <c r="C36" i="11"/>
  <c r="C38" i="4"/>
  <c r="B38" i="13" l="1"/>
  <c r="B38" i="4"/>
  <c r="D36" i="11"/>
  <c r="C39" i="11"/>
  <c r="E79" i="4"/>
  <c r="E81" i="4" l="1"/>
  <c r="R79" i="4"/>
  <c r="R81" i="4" s="1"/>
  <c r="B79" i="13"/>
  <c r="C79" i="13" s="1"/>
  <c r="C81" i="13" s="1"/>
  <c r="C81" i="4"/>
  <c r="C80" i="11"/>
  <c r="B79" i="4"/>
  <c r="B80" i="11"/>
  <c r="B82" i="11" s="1"/>
  <c r="D39" i="11"/>
  <c r="C82" i="11" l="1"/>
  <c r="D82" i="11" s="1"/>
  <c r="D80" i="11"/>
  <c r="B81" i="13"/>
  <c r="B81" i="4"/>
  <c r="E45" i="4" l="1"/>
  <c r="E54" i="4" l="1"/>
  <c r="R45" i="4"/>
  <c r="R54" i="4" s="1"/>
  <c r="B45" i="4"/>
  <c r="C54" i="4"/>
  <c r="B46" i="11"/>
  <c r="B55" i="11" s="1"/>
  <c r="C46" i="11"/>
  <c r="B45" i="13"/>
  <c r="C45" i="13" s="1"/>
  <c r="C54" i="13" s="1"/>
  <c r="D46" i="11" l="1"/>
  <c r="C55" i="11"/>
  <c r="B54" i="13"/>
  <c r="B54" i="4"/>
  <c r="D55" i="11" l="1"/>
  <c r="C104" i="4" l="1"/>
  <c r="B100" i="11"/>
  <c r="B105" i="11" s="1"/>
  <c r="B99" i="4"/>
  <c r="C100" i="11"/>
  <c r="B99" i="13"/>
  <c r="C99" i="13" s="1"/>
  <c r="C104" i="13" s="1"/>
  <c r="D100" i="11" l="1"/>
  <c r="C105" i="11"/>
  <c r="D105" i="11" s="1"/>
  <c r="B104" i="13"/>
  <c r="B104" i="4"/>
  <c r="E108" i="4" l="1"/>
  <c r="E61" i="4" l="1"/>
  <c r="R61" i="4" l="1"/>
  <c r="R62" i="4" s="1"/>
  <c r="R63" i="4" s="1"/>
  <c r="R97" i="4" s="1"/>
  <c r="E62" i="4"/>
  <c r="E63" i="4" s="1"/>
  <c r="E97" i="4" s="1"/>
  <c r="C62" i="11"/>
  <c r="B61" i="4"/>
  <c r="B62" i="11"/>
  <c r="B63" i="11" s="1"/>
  <c r="B64" i="11" s="1"/>
  <c r="B98" i="11" s="1"/>
  <c r="B106" i="11" s="1"/>
  <c r="B61" i="13"/>
  <c r="C61" i="13" s="1"/>
  <c r="C62" i="13" s="1"/>
  <c r="C63" i="13" s="1"/>
  <c r="C97" i="13" s="1"/>
  <c r="C105" i="13" s="1"/>
  <c r="C62" i="4"/>
  <c r="B62" i="13" l="1"/>
  <c r="B62" i="4"/>
  <c r="B63" i="4" s="1"/>
  <c r="C63" i="4"/>
  <c r="D62" i="11"/>
  <c r="C63" i="11"/>
  <c r="AM566" i="3"/>
  <c r="AO639" i="3"/>
  <c r="H108" i="4"/>
  <c r="H104" i="4" l="1"/>
  <c r="H105" i="4" s="1"/>
  <c r="D63" i="11"/>
  <c r="C64" i="11"/>
  <c r="C97" i="4"/>
  <c r="B63" i="13"/>
  <c r="AO641" i="3"/>
  <c r="AB48" i="15"/>
  <c r="C105" i="4" l="1"/>
  <c r="B97" i="13"/>
  <c r="B97" i="4"/>
  <c r="C98" i="11"/>
  <c r="D64" i="11"/>
  <c r="C106" i="11" l="1"/>
  <c r="D106" i="11" s="1"/>
  <c r="D98" i="11"/>
  <c r="AC455" i="3"/>
  <c r="AG269" i="20"/>
  <c r="B105" i="4"/>
  <c r="B105" i="13"/>
  <c r="BE101" i="3"/>
  <c r="AB47" i="15" l="1"/>
  <c r="AB49" i="15" s="1"/>
  <c r="AB54" i="15" s="1"/>
  <c r="AB55" i="15" s="1"/>
  <c r="AB56" i="15" s="1"/>
  <c r="N185" i="23"/>
  <c r="AC454" i="3"/>
  <c r="AB266" i="20"/>
  <c r="AG268" i="20" s="1"/>
  <c r="AG270" i="20" s="1"/>
  <c r="AK273" i="20" s="1"/>
  <c r="T812" i="20" s="1"/>
  <c r="AF812" i="20" s="1"/>
  <c r="BE22" i="3"/>
  <c r="BE77" i="3" l="1"/>
  <c r="AF821" i="20"/>
  <c r="BE70" i="3" s="1"/>
  <c r="F457" i="3"/>
  <c r="BE44" i="3"/>
  <c r="N186" i="23"/>
  <c r="N196" i="23"/>
  <c r="M26" i="3"/>
  <c r="AB57" i="15"/>
  <c r="AB59" i="15" s="1"/>
  <c r="AB77" i="15" s="1"/>
  <c r="AB78" i="15" s="1"/>
  <c r="AB79" i="15" l="1"/>
  <c r="AB81" i="15" s="1"/>
  <c r="J82" i="15" s="1"/>
  <c r="M27" i="3"/>
  <c r="I10" i="21"/>
  <c r="I11" i="21" s="1"/>
  <c r="I18" i="21" s="1"/>
  <c r="H4" i="21" s="1"/>
  <c r="H5" i="21" s="1"/>
  <c r="BE83" i="3" s="1"/>
  <c r="BE19" i="3"/>
  <c r="P204" i="3"/>
  <c r="P205" i="3" l="1"/>
  <c r="BE20" i="3"/>
  <c r="G104" i="4" l="1"/>
  <c r="G105" i="4" s="1"/>
  <c r="E99" i="4"/>
  <c r="R99" i="4" s="1"/>
  <c r="R104" i="4" s="1"/>
  <c r="R105" i="4" s="1"/>
  <c r="E104" i="4" l="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B0A6FD32-012C-4F3B-B174-282323C1EEB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<sst xmlns="http://schemas.openxmlformats.org/spreadsheetml/2006/main" count="5005" uniqueCount="2753">
  <si>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</si>
  <si>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</si>
  <si>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</si>
  <si>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</si>
  <si>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</si>
  <si>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</si>
  <si>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</si>
  <si>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</si>
  <si>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</si>
  <si>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</si>
  <si>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</si>
  <si>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</si>
  <si>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</si>
  <si>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</si>
  <si>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</si>
  <si>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</si>
  <si>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</si>
  <si>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</si>
  <si>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</si>
  <si>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</si>
  <si>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</si>
  <si>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</si>
  <si>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</si>
  <si>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</si>
  <si>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</si>
  <si>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</si>
  <si>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</si>
  <si>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</si>
  <si>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</si>
  <si>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</si>
  <si>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</si>
  <si>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</si>
  <si>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</si>
  <si>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</si>
  <si>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</si>
  <si>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</si>
  <si>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</si>
  <si>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</si>
  <si>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</si>
  <si>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</si>
  <si>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</si>
  <si>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</si>
  <si>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</si>
  <si>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</si>
  <si>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</si>
  <si>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</si>
  <si>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</si>
  <si>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</si>
  <si>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</si>
  <si>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</si>
  <si>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</si>
  <si>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</si>
  <si>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</si>
  <si>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</si>
  <si>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</si>
  <si>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</si>
  <si>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</si>
  <si>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</si>
  <si>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</si>
  <si>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</si>
  <si>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</si>
  <si>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</si>
  <si>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</si>
  <si>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</si>
  <si>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</si>
  <si>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</si>
  <si>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</si>
  <si>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</si>
  <si>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</si>
  <si>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</si>
  <si>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</si>
  <si>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</si>
  <si>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</si>
  <si>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</si>
  <si>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</si>
  <si>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</si>
  <si>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</si>
  <si>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</si>
  <si>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</si>
  <si>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</si>
  <si>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</si>
  <si>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</si>
  <si>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</si>
  <si>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</si>
  <si>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</si>
  <si>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</si>
  <si>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</si>
  <si>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</si>
  <si>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</si>
  <si>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</si>
  <si>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</si>
  <si>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</si>
  <si>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</si>
  <si>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</si>
  <si>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</si>
  <si>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</si>
  <si>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</si>
  <si>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</si>
  <si>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</si>
  <si>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</si>
  <si>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</si>
  <si>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</si>
  <si>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</si>
  <si>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</si>
  <si>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</si>
  <si>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</si>
  <si>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</si>
  <si>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</si>
  <si>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</si>
  <si>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</si>
  <si>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</si>
  <si>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</si>
  <si>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</si>
  <si>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</si>
  <si>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</si>
  <si>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</si>
  <si>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</si>
  <si>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</si>
  <si>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</si>
  <si>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</si>
  <si>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</si>
  <si>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</si>
  <si>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</si>
  <si>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</si>
  <si>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</si>
  <si>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</si>
  <si>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</si>
  <si>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</si>
  <si>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</si>
  <si>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</si>
  <si>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</si>
  <si>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</si>
  <si>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</si>
  <si>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</si>
  <si>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</si>
  <si>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</si>
  <si>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</si>
  <si>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</si>
  <si>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</si>
  <si>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</si>
  <si>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</si>
  <si>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</si>
  <si>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</si>
  <si>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</si>
  <si>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</si>
  <si>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</si>
  <si>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</si>
  <si>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</si>
  <si>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</si>
  <si>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</si>
  <si>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</si>
  <si>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</si>
  <si>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</si>
  <si>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</si>
  <si>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</si>
  <si>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</si>
  <si>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</si>
  <si>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</si>
  <si>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</si>
  <si>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</si>
  <si>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</si>
  <si>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</si>
  <si>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</si>
  <si>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</si>
  <si>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</si>
  <si>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</si>
  <si>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</si>
  <si>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</si>
  <si>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</si>
  <si>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</si>
  <si>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</si>
  <si>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</si>
  <si>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</si>
  <si>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</si>
  <si>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</si>
  <si>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</si>
  <si>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</si>
  <si>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</si>
  <si>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</si>
  <si>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</si>
  <si>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</si>
  <si>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</si>
  <si>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</si>
  <si>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</si>
  <si>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</si>
  <si>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</si>
  <si>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</si>
  <si>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</si>
  <si>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</si>
  <si>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</si>
  <si>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</si>
  <si>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</si>
  <si>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</si>
  <si>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</si>
  <si>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</si>
  <si>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</si>
  <si>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</si>
  <si>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</si>
  <si>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</si>
  <si>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</si>
  <si>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</si>
  <si>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</si>
  <si>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</si>
  <si>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</si>
  <si>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</si>
  <si>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</si>
  <si>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</si>
  <si>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</si>
  <si>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</si>
  <si>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</si>
  <si>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</si>
  <si>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</si>
  <si>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</si>
  <si>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</si>
  <si>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</si>
  <si>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</si>
  <si>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</si>
  <si>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</si>
  <si>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</si>
  <si>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</si>
  <si>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</si>
  <si>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</si>
  <si>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</si>
  <si>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</si>
  <si>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</si>
  <si>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</si>
  <si>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</si>
  <si>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</si>
  <si>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</si>
  <si>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</si>
  <si>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</si>
  <si>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</si>
  <si>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</si>
  <si>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</si>
  <si>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</si>
  <si>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</si>
  <si>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</si>
  <si>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</si>
  <si>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</si>
  <si>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</si>
  <si>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</si>
  <si>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</si>
  <si>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</si>
  <si>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</si>
  <si>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</si>
  <si>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</si>
  <si>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</si>
  <si>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</si>
  <si>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</si>
  <si>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</si>
  <si>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</si>
  <si>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</si>
  <si>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</si>
  <si>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</si>
  <si>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</si>
  <si>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</si>
  <si>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</si>
  <si>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</si>
  <si>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</si>
  <si>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</si>
  <si>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</si>
  <si>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</si>
  <si>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</si>
  <si>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</si>
  <si>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</si>
  <si>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</si>
  <si>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</si>
  <si>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</si>
  <si>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</si>
  <si>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</si>
  <si>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</si>
  <si>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</si>
  <si>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</si>
  <si>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</si>
  <si>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</si>
  <si>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</si>
  <si>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</si>
  <si>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</si>
  <si>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</si>
  <si>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</si>
  <si>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</si>
  <si>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</si>
  <si>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</si>
  <si>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</si>
  <si>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</si>
  <si>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</si>
  <si>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</si>
  <si>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</si>
  <si>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</si>
  <si>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</si>
  <si>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</si>
  <si>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</si>
  <si>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</si>
  <si>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</si>
  <si>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</si>
  <si>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</si>
  <si>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</si>
  <si>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</si>
  <si>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</si>
  <si>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</si>
  <si>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</si>
  <si>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</si>
  <si>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</si>
  <si>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</si>
  <si>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</si>
  <si>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</si>
  <si>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</si>
  <si>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</si>
  <si>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</si>
  <si>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</si>
  <si>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</si>
  <si>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</si>
  <si>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</si>
  <si>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</si>
  <si>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</si>
  <si>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</si>
  <si>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</si>
  <si>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</si>
  <si>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</si>
  <si>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</si>
  <si>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</si>
  <si>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</si>
  <si>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</si>
  <si>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</si>
  <si>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</si>
  <si>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</si>
  <si>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</si>
  <si>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</si>
  <si>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</si>
  <si>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</si>
  <si>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</si>
  <si>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</si>
  <si>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</si>
  <si>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</si>
  <si>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</si>
  <si>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</si>
  <si>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</si>
  <si>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</si>
  <si>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</si>
  <si>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</si>
  <si>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</si>
  <si>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</si>
  <si>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</si>
  <si>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</si>
  <si>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</si>
  <si>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</si>
  <si>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</si>
  <si>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</si>
  <si>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</si>
  <si>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</si>
  <si>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</si>
  <si>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</si>
  <si>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</si>
  <si>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</si>
  <si>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</si>
  <si>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</si>
  <si>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</si>
  <si>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</si>
  <si>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</si>
  <si>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</si>
  <si>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</si>
  <si>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</si>
  <si>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</si>
  <si>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</si>
  <si>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</si>
  <si>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</si>
  <si>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</si>
  <si>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</si>
  <si>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</si>
  <si>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</si>
  <si>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</si>
  <si>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</si>
  <si>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</si>
  <si>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</si>
  <si>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</si>
  <si>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</si>
  <si>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</si>
  <si>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</si>
  <si>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</si>
  <si>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</si>
  <si>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</si>
  <si>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</si>
  <si>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</si>
  <si>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</si>
  <si>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</si>
  <si>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</si>
  <si>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</si>
  <si>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</si>
  <si>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</si>
  <si>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</si>
  <si>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</si>
  <si>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</si>
  <si>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</si>
  <si>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</si>
  <si>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</si>
  <si>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</si>
  <si>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</si>
  <si>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</si>
  <si>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</si>
  <si>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</si>
  <si>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</si>
  <si>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</si>
  <si>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</si>
  <si>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</si>
  <si>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</si>
  <si>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</si>
  <si>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</si>
  <si>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</si>
  <si>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</si>
  <si>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</si>
  <si>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</si>
  <si>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</si>
  <si>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</si>
  <si>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</si>
  <si>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</si>
  <si>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</si>
  <si>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</si>
  <si>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</si>
  <si>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</si>
  <si>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</si>
  <si>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</si>
  <si>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</si>
  <si>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</si>
  <si>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</si>
  <si>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</si>
  <si>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</si>
  <si>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</si>
  <si>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</si>
  <si>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</si>
  <si>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</si>
  <si>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</si>
  <si>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</si>
  <si>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</si>
  <si>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</si>
  <si>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</si>
  <si>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</si>
  <si>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</si>
  <si>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</si>
  <si>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</si>
  <si>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</si>
  <si>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</si>
  <si>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</si>
  <si>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</si>
  <si>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</si>
  <si>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</si>
  <si>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</si>
  <si>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</si>
  <si>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</si>
  <si>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</si>
  <si>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</si>
  <si>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</si>
  <si>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</si>
  <si>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</si>
  <si>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</si>
  <si>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</si>
  <si>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</si>
  <si>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</si>
  <si>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</si>
  <si>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</si>
  <si>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</si>
  <si>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</si>
  <si>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</si>
  <si>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</si>
  <si>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</si>
  <si>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</si>
  <si>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</si>
  <si>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</si>
  <si>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</si>
  <si>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</si>
  <si>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</si>
  <si>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</si>
  <si>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</si>
  <si>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</si>
  <si>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</si>
  <si>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</si>
  <si>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</si>
  <si>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</si>
  <si>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</si>
  <si>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</si>
  <si>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</si>
  <si>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</si>
  <si>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</si>
  <si>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</si>
  <si>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</si>
  <si>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</si>
  <si>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</si>
  <si>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</si>
  <si>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</si>
  <si>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</si>
  <si>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</si>
  <si>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</si>
  <si>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</si>
  <si>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</si>
  <si>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</si>
  <si>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</si>
  <si>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</si>
  <si>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</si>
  <si>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</si>
  <si>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</si>
  <si>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</si>
  <si>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</si>
  <si>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</si>
  <si>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</si>
  <si>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</si>
  <si>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</si>
  <si>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</si>
  <si>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</si>
  <si>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</si>
  <si>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</si>
  <si>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</si>
  <si>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</si>
  <si>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</si>
  <si>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</si>
  <si>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</si>
  <si>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</si>
  <si>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</si>
  <si>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</si>
  <si>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</si>
  <si>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</si>
  <si>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</si>
  <si>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</si>
  <si>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</si>
  <si>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</si>
  <si>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</si>
  <si>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</si>
  <si>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</si>
  <si>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</si>
  <si>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</si>
  <si>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</si>
  <si>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</si>
  <si>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</si>
  <si>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</si>
  <si>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</si>
  <si>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</si>
  <si>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</si>
  <si>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</si>
  <si>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</si>
  <si>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</si>
  <si>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</si>
  <si>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</si>
  <si>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</si>
  <si>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</si>
  <si>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</si>
  <si>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</si>
  <si>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</si>
  <si>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</si>
  <si>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</si>
  <si>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</si>
  <si>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</si>
  <si>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</si>
  <si>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</si>
  <si>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</si>
  <si>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</si>
  <si>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</si>
  <si>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</si>
  <si>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</si>
  <si>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</si>
  <si>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</si>
  <si>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</si>
  <si>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</si>
  <si>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</si>
  <si>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</si>
  <si>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</si>
  <si>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</si>
  <si>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</si>
  <si>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</si>
  <si>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</si>
  <si>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</si>
  <si>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</si>
  <si>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</si>
  <si>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</si>
  <si>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</si>
  <si>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</si>
  <si>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</si>
  <si>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</si>
  <si>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</si>
  <si>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</si>
  <si>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</si>
  <si>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</si>
  <si>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</si>
  <si>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</si>
  <si>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</si>
  <si>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</si>
  <si>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</si>
  <si>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</si>
  <si>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</si>
  <si>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</si>
  <si>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</si>
  <si>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</si>
  <si>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</si>
  <si>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</si>
  <si>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</si>
  <si>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</si>
  <si>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</si>
  <si>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</si>
  <si>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</si>
  <si>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</si>
  <si>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</si>
  <si>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</si>
  <si>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</si>
  <si>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</si>
  <si>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</si>
  <si>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</si>
  <si>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</si>
  <si>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</si>
  <si>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</si>
  <si>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</si>
  <si>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</si>
  <si>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</si>
  <si>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</si>
  <si>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</si>
  <si>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</si>
  <si>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</si>
  <si>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</si>
  <si>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</si>
  <si>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</si>
  <si>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</si>
  <si>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</si>
  <si>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</si>
  <si>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</si>
  <si>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</si>
  <si>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</si>
  <si>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</si>
  <si>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</si>
  <si>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</si>
  <si>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</si>
  <si>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</si>
  <si>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</si>
  <si>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</si>
  <si>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</si>
  <si>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</si>
  <si>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</si>
  <si>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</si>
  <si>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</si>
  <si>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</si>
  <si>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</si>
  <si>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</si>
  <si>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</si>
  <si>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</si>
  <si>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</si>
  <si>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</si>
  <si>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</si>
  <si>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</si>
  <si>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</si>
  <si>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</si>
  <si>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</si>
  <si>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</si>
  <si>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</si>
  <si>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</si>
  <si>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</si>
  <si>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</si>
  <si>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</si>
  <si>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</si>
  <si>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</si>
  <si>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</si>
  <si>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</si>
  <si>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</si>
  <si>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</si>
  <si>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</si>
  <si>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</si>
  <si>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</si>
  <si>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</si>
  <si>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</si>
  <si>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</si>
  <si>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</si>
  <si>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</si>
  <si>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</si>
  <si>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</si>
  <si>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</si>
  <si>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</si>
  <si>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</si>
  <si>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</si>
  <si>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</si>
  <si>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</si>
  <si>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</si>
  <si>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</si>
  <si>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</si>
  <si>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</si>
  <si>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</si>
  <si>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</si>
  <si>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</si>
  <si>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</si>
  <si>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</si>
  <si>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</si>
  <si>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</si>
  <si>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</si>
  <si>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</si>
  <si>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</si>
  <si>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</si>
  <si>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</si>
  <si>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</si>
  <si>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</si>
  <si>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</si>
  <si>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</si>
  <si>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</si>
  <si>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</si>
  <si>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</si>
  <si>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</si>
  <si>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</si>
  <si>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</si>
  <si>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</si>
  <si>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</si>
  <si>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</si>
  <si>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</si>
  <si>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</si>
  <si>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</si>
  <si>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</si>
  <si>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</si>
  <si>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</si>
  <si>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</si>
  <si>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</si>
  <si>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</si>
  <si>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</si>
  <si>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</si>
  <si>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</si>
  <si>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</si>
  <si>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</si>
  <si>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</si>
  <si>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</si>
  <si>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</si>
  <si>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</si>
  <si>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</si>
  <si>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</si>
  <si>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</si>
  <si>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</si>
  <si>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</si>
  <si>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</si>
  <si>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</si>
  <si>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</si>
  <si>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</si>
  <si>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</si>
  <si>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</si>
  <si>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</si>
  <si>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</si>
  <si>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</si>
  <si>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</si>
  <si>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</si>
  <si>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</si>
  <si>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</si>
  <si>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</si>
  <si>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</si>
  <si>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</si>
  <si>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</si>
  <si>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</si>
  <si>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</si>
  <si>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</si>
  <si>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</si>
  <si>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</si>
  <si>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</si>
  <si>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</si>
  <si>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</si>
  <si>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</si>
  <si>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</si>
  <si>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</si>
  <si>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</si>
  <si>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</si>
  <si>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</si>
  <si>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</si>
  <si>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</si>
  <si>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</si>
  <si>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</si>
  <si>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</si>
  <si>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</si>
  <si>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</si>
  <si>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</si>
  <si>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</si>
  <si>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</si>
  <si>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</si>
  <si>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</si>
  <si>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</si>
  <si>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</si>
  <si>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</si>
  <si>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</si>
  <si>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</si>
  <si>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</si>
  <si>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</si>
  <si>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</si>
  <si>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</si>
  <si>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</si>
  <si>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</si>
  <si>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</si>
  <si>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</si>
  <si>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</si>
  <si>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</si>
  <si>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</si>
  <si>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</si>
  <si>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</si>
  <si>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</si>
  <si>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</si>
  <si>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</si>
  <si>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</si>
  <si>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</si>
  <si>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</si>
  <si>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</si>
  <si>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</si>
  <si>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</si>
  <si>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</si>
  <si>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</si>
  <si>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</si>
  <si>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</si>
  <si>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</si>
  <si>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</si>
  <si>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</si>
  <si>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</si>
  <si>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</si>
  <si>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</si>
  <si>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</si>
  <si>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</si>
  <si>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</si>
  <si>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</si>
  <si>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</si>
  <si>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</si>
  <si>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</si>
  <si>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</si>
  <si>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</si>
  <si>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</si>
  <si>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</si>
  <si>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</si>
  <si>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</si>
  <si>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</si>
  <si>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</si>
  <si>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</si>
  <si>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</si>
  <si>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</si>
  <si>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</si>
  <si>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</si>
  <si>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</si>
  <si>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</si>
  <si>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</si>
  <si>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</si>
  <si>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</si>
  <si>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</si>
  <si>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</si>
  <si>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</si>
  <si>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</si>
  <si>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</si>
  <si>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</si>
  <si>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</si>
  <si>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</si>
  <si>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</si>
  <si>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</si>
  <si>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</si>
  <si>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</si>
  <si>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</si>
  <si>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</si>
  <si>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</si>
  <si>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</si>
  <si>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</si>
  <si>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</si>
  <si>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</si>
  <si>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</si>
  <si>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</si>
  <si>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</si>
  <si>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</si>
  <si>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</si>
  <si>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</si>
  <si>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</si>
  <si>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</si>
  <si>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</si>
  <si>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</si>
  <si>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</si>
  <si>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</si>
  <si>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</si>
  <si>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</si>
  <si>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</si>
  <si>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</si>
  <si>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</si>
  <si>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</si>
  <si>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</si>
  <si>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</si>
  <si>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</si>
  <si>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</si>
  <si>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</si>
  <si>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</si>
  <si>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</si>
  <si>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</si>
  <si>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</si>
  <si>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</si>
  <si>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</si>
  <si>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</si>
  <si>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</si>
  <si>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</si>
  <si>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</si>
  <si>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</si>
  <si>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</si>
  <si>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</si>
  <si>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</si>
  <si>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</si>
  <si>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</si>
  <si>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</si>
  <si>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</si>
  <si>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</si>
  <si>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</si>
  <si>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</si>
  <si>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</si>
  <si>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</si>
  <si>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</si>
  <si>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</si>
  <si>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</si>
  <si>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</si>
  <si>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</si>
  <si>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</si>
  <si>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</si>
  <si>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</si>
  <si>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</si>
  <si>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</si>
  <si>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</si>
  <si>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</si>
  <si>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</si>
  <si>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</si>
  <si>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</si>
  <si>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</si>
  <si>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</si>
  <si>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</si>
  <si>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</si>
  <si>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</si>
  <si>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</si>
  <si>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</si>
  <si>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</si>
  <si>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</si>
  <si>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</si>
  <si>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</si>
  <si>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</si>
  <si>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</si>
  <si>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</si>
  <si>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</si>
  <si>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</si>
  <si>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</si>
  <si>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</si>
  <si>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</si>
  <si>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</si>
  <si>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</si>
  <si>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</si>
  <si>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</si>
  <si>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</si>
  <si>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</si>
  <si>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</si>
  <si>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</si>
  <si>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</si>
  <si>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</si>
  <si>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</si>
  <si>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</si>
  <si>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</si>
  <si>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</si>
  <si>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</si>
  <si>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</si>
  <si>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</si>
  <si>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</si>
  <si>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</si>
  <si>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</si>
  <si>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</si>
  <si>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</si>
  <si>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</si>
  <si>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</si>
  <si>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</si>
  <si>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</si>
  <si>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</si>
  <si>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</si>
  <si>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</si>
  <si>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</si>
  <si>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</si>
  <si>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</si>
  <si>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</si>
  <si>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</si>
  <si>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</si>
  <si>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</si>
  <si>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</si>
  <si>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</si>
  <si>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</si>
  <si>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</si>
  <si>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</si>
  <si>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</si>
  <si>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</si>
  <si>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</si>
  <si>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</si>
  <si>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</si>
  <si>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</si>
  <si>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</si>
  <si>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</si>
  <si>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</si>
  <si>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</si>
  <si>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</si>
  <si>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</si>
  <si>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</si>
  <si>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</si>
  <si>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</si>
  <si>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</si>
  <si>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</si>
  <si>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</si>
  <si>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</si>
  <si>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</si>
  <si>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</si>
  <si>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</si>
  <si>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</si>
  <si>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</si>
  <si>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</si>
  <si>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</si>
  <si>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</si>
  <si>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</si>
  <si>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</si>
  <si>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</si>
  <si>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</si>
  <si>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</si>
  <si>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</si>
  <si>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</si>
  <si>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</si>
  <si>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</si>
  <si>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</si>
  <si>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</si>
  <si>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</si>
  <si>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</si>
  <si>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</si>
  <si>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</si>
  <si>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</si>
  <si>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</si>
  <si>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</si>
  <si>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</si>
  <si>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</si>
  <si>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</si>
  <si>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</si>
  <si>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</si>
  <si>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</si>
  <si>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</si>
  <si>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</si>
  <si>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</si>
  <si>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</si>
  <si>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</si>
  <si>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</si>
  <si>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</si>
  <si>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</si>
  <si>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</si>
  <si>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</si>
  <si>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</si>
  <si>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</si>
  <si>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</si>
  <si>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</si>
  <si>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</si>
  <si>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</si>
  <si>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</si>
  <si>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</si>
  <si>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</si>
  <si>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</si>
  <si>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</si>
  <si>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</si>
  <si>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</si>
  <si>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</si>
  <si>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</si>
  <si>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</si>
  <si>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</si>
  <si>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</si>
  <si>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</si>
  <si>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</si>
  <si>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</si>
  <si>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</si>
  <si>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</si>
  <si>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</si>
  <si>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</si>
  <si>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</si>
  <si>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</si>
  <si>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</si>
  <si>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</si>
  <si>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</si>
  <si>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</si>
  <si>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</si>
  <si>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</si>
  <si>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</si>
  <si>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</si>
  <si>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</si>
  <si>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</si>
  <si>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</si>
  <si>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</si>
  <si>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</si>
  <si>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</si>
  <si>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</si>
  <si>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</si>
  <si>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</si>
  <si>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</si>
  <si>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</si>
  <si>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</si>
  <si>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</si>
  <si>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</si>
  <si>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</si>
  <si>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</si>
  <si>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</si>
  <si>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</si>
  <si>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</si>
  <si>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</si>
  <si>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</si>
  <si>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</si>
  <si>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</si>
  <si>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</si>
  <si>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</si>
  <si>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</si>
  <si>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</si>
  <si>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</si>
  <si>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</si>
  <si>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</si>
  <si>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</si>
  <si>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</si>
  <si>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</si>
  <si>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</si>
  <si>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</si>
  <si>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</si>
  <si>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</si>
  <si>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</si>
  <si>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</si>
  <si>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</si>
  <si>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</si>
  <si>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</si>
  <si>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</si>
  <si>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</si>
  <si>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</si>
  <si>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</si>
  <si>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</si>
  <si>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</si>
  <si>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</si>
  <si>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</si>
  <si>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</si>
  <si>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</si>
  <si>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</si>
  <si>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</si>
  <si>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</si>
  <si>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</si>
  <si>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</si>
  <si>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</si>
  <si>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</si>
  <si>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</si>
  <si>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</si>
  <si>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</si>
  <si>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</si>
  <si>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</si>
  <si>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</si>
  <si>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</si>
  <si>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</si>
  <si>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</si>
  <si>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</si>
  <si>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</si>
  <si>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</si>
  <si>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</si>
  <si>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</si>
  <si>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</si>
  <si>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</si>
  <si>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</si>
  <si>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</si>
  <si>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</si>
  <si>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</si>
  <si>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</si>
  <si>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</si>
  <si>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</si>
  <si>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</si>
  <si>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</si>
  <si>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</si>
  <si>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</si>
  <si>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</si>
  <si>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</si>
  <si>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</si>
  <si>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</si>
  <si>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</si>
  <si>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</si>
  <si>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</si>
  <si>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</si>
  <si>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</si>
  <si>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</si>
  <si>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</si>
  <si>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</si>
  <si>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</si>
  <si>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</si>
  <si>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</si>
  <si>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</si>
  <si>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</si>
  <si>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</si>
  <si>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</si>
  <si>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</si>
  <si>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</si>
  <si>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</si>
  <si>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</si>
  <si>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</si>
  <si>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</si>
  <si>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</si>
  <si>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</si>
  <si>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</si>
  <si>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</si>
  <si>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</si>
  <si>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</si>
  <si>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</si>
  <si>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</si>
  <si>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</si>
  <si>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</si>
  <si>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</si>
  <si>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</si>
  <si>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</si>
  <si>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</si>
  <si>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</si>
  <si>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</si>
  <si>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</si>
  <si>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</si>
  <si>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</si>
  <si>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</si>
  <si>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</si>
  <si>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</si>
  <si>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</si>
  <si>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</si>
  <si>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</si>
  <si>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</si>
  <si>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</si>
  <si>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</si>
  <si>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</si>
  <si>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</si>
  <si>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</si>
  <si>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</si>
  <si>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</si>
  <si>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</si>
  <si>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</si>
  <si>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</si>
  <si>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</si>
  <si>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</si>
  <si>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</si>
  <si>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</si>
  <si>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</si>
  <si>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</si>
  <si>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</si>
  <si>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</si>
  <si>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</si>
  <si>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</si>
  <si>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</si>
  <si>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</si>
  <si>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</si>
  <si>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</si>
  <si>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</si>
  <si>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</si>
  <si>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</si>
  <si>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</si>
  <si>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</si>
  <si>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</si>
  <si>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</si>
  <si>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</si>
  <si>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</si>
  <si>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</si>
  <si>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</si>
  <si>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</si>
  <si>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</si>
  <si>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</si>
  <si>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</si>
  <si>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</si>
  <si>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</si>
  <si>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</si>
  <si>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</si>
  <si>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</si>
  <si>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</si>
  <si>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</si>
  <si>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</si>
  <si>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</si>
  <si>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</si>
  <si>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</si>
  <si>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</si>
  <si>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</si>
  <si>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</si>
  <si>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</si>
  <si>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</si>
  <si>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</si>
  <si>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</si>
  <si>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</si>
  <si>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</si>
  <si>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</si>
  <si>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</si>
  <si>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</si>
  <si>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</si>
  <si>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</si>
  <si>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</si>
  <si>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</si>
  <si>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</si>
  <si>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</si>
  <si>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</si>
  <si>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</si>
  <si>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</si>
  <si>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</si>
  <si>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</si>
  <si>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</si>
  <si>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</si>
  <si>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</si>
  <si>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</si>
  <si>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</si>
  <si>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</si>
  <si>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</si>
  <si>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</si>
  <si>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</si>
  <si>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</si>
  <si>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</si>
  <si>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</si>
  <si>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</si>
  <si>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</si>
  <si>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</si>
  <si>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</si>
  <si>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</si>
  <si>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</si>
  <si>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</si>
  <si>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</si>
  <si>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</si>
  <si>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</si>
  <si>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</si>
  <si>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</si>
  <si>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</si>
  <si>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</si>
  <si>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</si>
  <si>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</si>
  <si>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</si>
  <si>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</si>
  <si>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</si>
  <si>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</si>
  <si>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</si>
  <si>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</si>
  <si>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</si>
  <si>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</si>
  <si>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</si>
  <si>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</si>
  <si>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</si>
  <si>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</si>
  <si>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</si>
  <si>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</si>
  <si>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</si>
  <si>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</si>
  <si>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</si>
  <si>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</si>
  <si>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</si>
  <si>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</si>
  <si>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</si>
  <si>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</si>
  <si>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</si>
  <si>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</si>
  <si>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</si>
  <si>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</si>
  <si>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</si>
  <si>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</si>
  <si>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</si>
  <si>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</si>
  <si>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</si>
  <si>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</si>
  <si>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</si>
  <si>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</si>
  <si>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</si>
  <si>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</si>
  <si>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</si>
  <si>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</si>
  <si>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</si>
  <si>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</si>
  <si>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</si>
  <si>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</si>
  <si>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</si>
  <si>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</si>
  <si>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</si>
  <si>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</si>
  <si>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</si>
  <si>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</si>
  <si>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</si>
  <si>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</si>
  <si>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</si>
  <si>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</si>
  <si>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</si>
  <si>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</si>
  <si>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</si>
  <si>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</si>
  <si>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</si>
  <si>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</si>
  <si>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</si>
  <si>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</si>
  <si>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</si>
  <si>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</si>
  <si>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</si>
  <si>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</si>
  <si>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</si>
  <si>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</si>
  <si>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</si>
  <si>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</si>
  <si>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</si>
  <si>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</si>
  <si>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</si>
  <si>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</si>
  <si>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</si>
  <si>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</si>
  <si>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</si>
  <si>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</si>
  <si>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</si>
  <si>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</si>
  <si>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</si>
  <si>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</si>
  <si>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</si>
  <si>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</si>
  <si>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</si>
  <si>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</si>
  <si>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</si>
  <si>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</si>
  <si>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</si>
  <si>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</si>
  <si>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</si>
  <si>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</si>
  <si>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</si>
  <si>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</si>
  <si>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</si>
  <si>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</si>
  <si>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</si>
  <si>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</si>
  <si>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</si>
  <si>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</si>
  <si>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</si>
  <si>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</si>
  <si>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</si>
  <si>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</si>
  <si>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</si>
  <si>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</si>
  <si>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</si>
  <si>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</si>
  <si>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</si>
  <si>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</si>
  <si>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</si>
  <si>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</si>
  <si>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</si>
  <si>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</si>
  <si>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</si>
  <si>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</si>
  <si>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</si>
  <si>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</si>
  <si>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</si>
  <si>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</si>
  <si>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</si>
  <si>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</si>
  <si>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</si>
  <si>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</si>
  <si>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</si>
  <si>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</si>
  <si>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</si>
  <si>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</si>
  <si>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</si>
  <si>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</si>
  <si>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</si>
  <si>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</si>
  <si>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</si>
  <si>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</si>
  <si>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</si>
  <si>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</si>
  <si>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</si>
  <si>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</si>
  <si>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</si>
  <si>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</si>
  <si>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</si>
  <si>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</si>
  <si>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</si>
  <si>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</si>
  <si>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</si>
  <si>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</si>
  <si>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</si>
  <si>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</si>
  <si>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</si>
  <si>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</si>
  <si>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</si>
  <si>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</si>
  <si>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</si>
  <si>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</si>
  <si>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</si>
  <si>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</si>
  <si>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</si>
  <si>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</si>
  <si>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</si>
  <si>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</si>
  <si>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</si>
  <si>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</si>
  <si>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</si>
  <si>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</si>
  <si>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</si>
  <si>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</si>
  <si>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</si>
  <si>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</si>
  <si>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</si>
  <si>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</si>
  <si>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</si>
  <si>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</si>
  <si>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</si>
  <si>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</si>
  <si>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</si>
  <si>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</si>
  <si>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</si>
  <si>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</si>
  <si>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</si>
  <si>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</si>
  <si>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</si>
  <si>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</si>
  <si>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</si>
  <si>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</si>
  <si>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</si>
  <si>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</si>
  <si>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</si>
  <si>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</si>
  <si>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</si>
  <si>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</si>
  <si>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</si>
  <si>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</si>
  <si>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</si>
  <si>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</si>
  <si>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</si>
  <si>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</si>
  <si>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</si>
  <si>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</si>
  <si>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</si>
  <si>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</si>
  <si>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</si>
  <si>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</si>
  <si>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</si>
  <si>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</si>
  <si>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</si>
  <si>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</si>
  <si>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</si>
  <si>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</si>
  <si>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</si>
  <si>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</si>
  <si>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</si>
  <si>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</si>
  <si>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</si>
  <si>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</si>
  <si>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</si>
  <si>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</si>
  <si>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</si>
  <si>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</si>
  <si>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</si>
  <si>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</si>
  <si>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</si>
  <si>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</si>
  <si>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</si>
  <si>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</si>
  <si>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</si>
  <si>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</si>
  <si>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</si>
  <si>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</si>
  <si>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</si>
  <si>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</si>
  <si>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</si>
  <si>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</si>
  <si>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</si>
  <si>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</si>
  <si>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</si>
  <si>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</si>
  <si>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</si>
  <si>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</si>
  <si>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</si>
  <si>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</si>
  <si>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</si>
  <si>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</si>
  <si>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</si>
  <si>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</si>
  <si>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</si>
  <si>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</si>
  <si>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</si>
  <si>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</si>
  <si>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</si>
  <si>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</si>
  <si>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</si>
  <si>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</si>
  <si>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</si>
  <si>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</si>
  <si>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</si>
  <si>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</si>
  <si>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</si>
  <si>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</si>
  <si>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</si>
  <si>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</si>
  <si>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</si>
  <si>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</si>
  <si>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</si>
  <si>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</si>
  <si>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</si>
  <si>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</si>
  <si>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</si>
  <si>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</si>
  <si>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</si>
  <si>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</si>
  <si>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</si>
  <si>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</si>
  <si>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</si>
  <si>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</si>
  <si>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</si>
  <si>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</si>
  <si>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</si>
  <si>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</si>
  <si>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</si>
  <si>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</si>
  <si>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</si>
  <si>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</si>
  <si>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</si>
  <si>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</si>
  <si>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</si>
  <si>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</si>
  <si>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</si>
  <si>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</si>
  <si>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</si>
  <si>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</si>
  <si>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</si>
  <si>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</si>
  <si>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</si>
  <si>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</si>
  <si>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</si>
  <si>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</si>
  <si>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</si>
  <si>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</si>
  <si>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</si>
  <si>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</si>
  <si>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</si>
  <si>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</si>
  <si>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</si>
  <si>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</si>
  <si>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</si>
  <si>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</si>
  <si>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</si>
  <si>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</si>
  <si>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</si>
  <si>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</si>
  <si>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</si>
  <si>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</si>
  <si>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</si>
  <si>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</si>
  <si>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</si>
  <si>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</si>
  <si>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</si>
  <si>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</si>
  <si>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</si>
  <si>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</si>
  <si>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</si>
  <si>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</si>
  <si>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</si>
  <si>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</si>
  <si>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</si>
  <si>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</si>
  <si>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</si>
  <si>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</si>
  <si>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</si>
  <si>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</si>
  <si>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</si>
  <si>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</si>
  <si>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</si>
  <si>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</si>
  <si>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</si>
  <si>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</si>
  <si>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</si>
  <si>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</si>
  <si>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</si>
  <si>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</si>
  <si>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</si>
  <si>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</si>
  <si>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</si>
  <si>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</si>
  <si>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</si>
  <si>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</si>
  <si>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</si>
  <si>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</si>
  <si>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</si>
  <si>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</si>
  <si>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</si>
  <si>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</si>
  <si>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</si>
  <si>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</si>
  <si>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</si>
  <si>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</si>
  <si>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</si>
  <si>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</si>
  <si>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</si>
  <si>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</si>
  <si>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</si>
  <si>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</si>
  <si>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</si>
  <si>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</si>
  <si>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</si>
  <si>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</si>
  <si>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</si>
  <si>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</si>
  <si>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</si>
  <si>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</si>
  <si>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</si>
  <si>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</si>
  <si>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</si>
  <si>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</si>
  <si>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</si>
  <si>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</si>
  <si>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</si>
  <si>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</si>
  <si>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</si>
  <si>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</si>
  <si>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</si>
  <si>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</si>
  <si>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</si>
  <si>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</si>
  <si>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</si>
  <si>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</si>
  <si>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</si>
  <si>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</si>
  <si>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</si>
  <si>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</si>
  <si>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</si>
  <si>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</si>
  <si>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</si>
  <si>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</si>
  <si>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</si>
  <si>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</si>
  <si>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</si>
  <si>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</si>
  <si>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</si>
  <si>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</si>
  <si>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</si>
  <si>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</si>
  <si>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</si>
  <si>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</si>
  <si>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</si>
  <si>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</si>
  <si>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</si>
  <si>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</si>
  <si>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</si>
  <si>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</si>
  <si>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</si>
  <si>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</si>
  <si>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</si>
  <si>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</si>
  <si>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</si>
  <si>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</si>
  <si>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</si>
  <si>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</si>
  <si>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</si>
  <si>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</si>
  <si>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</si>
  <si>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</si>
  <si>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</si>
  <si>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</si>
  <si>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</si>
  <si>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</si>
  <si>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</si>
  <si>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</si>
  <si>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</si>
  <si>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</si>
  <si>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</si>
  <si>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</si>
  <si>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</si>
  <si>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</si>
  <si>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</si>
  <si>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</si>
  <si>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</si>
  <si>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</si>
  <si>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</si>
  <si>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</si>
  <si>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</si>
  <si>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</si>
  <si>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</si>
  <si>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</si>
  <si>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</si>
  <si>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</si>
  <si>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</si>
  <si>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</si>
  <si>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</si>
  <si>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</si>
  <si>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</si>
  <si>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</si>
  <si>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</si>
  <si>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</si>
  <si>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</si>
  <si>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</si>
  <si>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</si>
  <si>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</si>
  <si>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</si>
  <si>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</si>
  <si>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</si>
  <si>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</si>
  <si>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</si>
  <si>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</si>
  <si>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</si>
  <si>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</si>
  <si>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</si>
  <si>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</si>
  <si>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</si>
  <si>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</si>
  <si>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</si>
  <si>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</si>
  <si>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</si>
  <si>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</si>
  <si>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</si>
  <si>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</si>
  <si>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</si>
  <si>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</si>
  <si>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</si>
  <si>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</si>
  <si>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</si>
  <si>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</si>
  <si>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</si>
  <si>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</si>
  <si>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</si>
  <si>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</si>
  <si>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</si>
  <si>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</si>
  <si>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</si>
  <si>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</si>
  <si>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</si>
  <si>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</si>
  <si>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</si>
  <si>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</si>
  <si>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</si>
  <si>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</si>
  <si>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</si>
  <si>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</si>
  <si>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</si>
  <si>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</si>
  <si>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</si>
  <si>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</si>
  <si>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</si>
  <si>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</si>
  <si>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</si>
  <si>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</si>
  <si>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</si>
  <si>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</si>
  <si>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</si>
  <si>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</si>
  <si>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</si>
  <si>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</si>
  <si>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</si>
  <si>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</si>
  <si>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</si>
  <si>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</si>
  <si>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</si>
  <si>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</si>
  <si>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</si>
  <si>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</si>
  <si>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</si>
  <si>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</si>
  <si>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</si>
  <si>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</si>
  <si>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</si>
  <si>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</si>
  <si>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</si>
  <si>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</si>
  <si>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</si>
  <si>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</si>
  <si>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</si>
  <si>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</si>
  <si>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</si>
  <si>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</si>
  <si>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</si>
  <si>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</si>
  <si>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</si>
  <si>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</si>
  <si>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</si>
  <si>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</si>
  <si>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</si>
  <si>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</si>
  <si>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</si>
  <si>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</si>
  <si>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</si>
  <si>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</si>
  <si>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</si>
  <si>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</si>
  <si>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</si>
  <si>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</si>
  <si>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</si>
  <si>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</si>
  <si>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</si>
  <si>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</si>
  <si>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</si>
  <si>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</si>
  <si>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</si>
  <si>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</si>
  <si>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</si>
  <si>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</si>
  <si>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</si>
  <si>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</si>
  <si>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</si>
  <si>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</si>
  <si>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</si>
  <si>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</si>
  <si>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</si>
  <si>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</si>
  <si>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</si>
  <si>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</si>
  <si>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</si>
  <si>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</si>
  <si>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</si>
  <si>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</si>
  <si>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</si>
  <si>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</si>
  <si>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</si>
  <si>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</si>
  <si>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</si>
  <si>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</si>
  <si>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</si>
  <si>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</si>
  <si>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</si>
  <si>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</si>
  <si>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</si>
  <si>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</si>
  <si>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</si>
  <si>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</si>
  <si>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</si>
  <si>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</si>
  <si>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</si>
  <si>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</si>
  <si>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</si>
  <si>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</si>
  <si>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</si>
  <si>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</si>
  <si>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</si>
  <si>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</si>
  <si>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</si>
  <si>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</si>
  <si>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</si>
  <si>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</si>
  <si>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</si>
  <si>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</si>
  <si>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</si>
  <si>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</si>
  <si>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</si>
  <si>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</si>
  <si>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</si>
  <si>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</si>
  <si>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</si>
  <si>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</si>
  <si>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</si>
  <si>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</si>
  <si>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</si>
  <si>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</si>
  <si>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</si>
  <si>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</si>
  <si>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</si>
  <si>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</si>
  <si>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</si>
  <si>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</si>
  <si>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</si>
  <si>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</si>
  <si>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</si>
  <si>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</si>
  <si>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</si>
  <si>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</si>
  <si>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</si>
  <si>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</si>
  <si>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</si>
  <si>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</si>
  <si>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</si>
  <si>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</si>
  <si>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</si>
  <si>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</si>
  <si>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</si>
  <si>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</si>
  <si>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</si>
  <si>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</si>
  <si>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</si>
  <si>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</si>
  <si>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</si>
  <si>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</si>
  <si>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</si>
  <si>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</si>
  <si>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</si>
  <si>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</si>
  <si>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</si>
  <si>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</si>
  <si>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</si>
  <si>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</si>
  <si>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</si>
  <si>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</si>
  <si>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</si>
  <si>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</si>
  <si>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</si>
  <si>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</si>
  <si>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</si>
  <si>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</si>
  <si>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</si>
  <si>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</si>
  <si>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</si>
  <si>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</si>
  <si>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</si>
  <si>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</si>
  <si>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</si>
  <si>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</si>
  <si>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</si>
  <si>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</si>
  <si>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</si>
  <si>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</si>
  <si>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</si>
  <si>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</si>
  <si>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</si>
  <si>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</si>
  <si>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</si>
  <si>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</si>
  <si>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</si>
  <si>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</si>
  <si>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</si>
  <si>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</si>
  <si>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</si>
  <si>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</si>
  <si>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</si>
  <si>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</si>
  <si>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</si>
  <si>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</si>
  <si>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</si>
  <si>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</si>
  <si>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</si>
  <si>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</si>
  <si>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</si>
  <si>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</si>
  <si>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</si>
  <si>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</si>
  <si>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</si>
  <si>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</si>
  <si>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</si>
  <si>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</si>
  <si>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</si>
  <si>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</si>
  <si>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</si>
  <si>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</si>
  <si>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</si>
  <si>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</si>
  <si>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</si>
  <si>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</si>
  <si>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</si>
  <si>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</si>
  <si>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</si>
  <si>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</si>
  <si>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</si>
  <si>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</si>
  <si>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</si>
  <si>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</si>
  <si>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</si>
  <si>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</si>
  <si>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</si>
  <si>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</si>
  <si>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</si>
  <si>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</si>
  <si>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</si>
  <si>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</si>
  <si>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</si>
  <si>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</si>
  <si>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</si>
  <si>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</si>
  <si>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</si>
  <si>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</si>
  <si>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</si>
  <si>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</si>
  <si>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</si>
  <si>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</si>
  <si>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</si>
  <si>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</si>
  <si>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</si>
  <si>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</si>
  <si>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</si>
  <si>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</si>
  <si>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</si>
  <si>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</si>
  <si>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</si>
  <si>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</si>
  <si>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</si>
  <si>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</si>
  <si>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</si>
  <si>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</si>
  <si>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</si>
  <si>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</si>
  <si>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</si>
  <si>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</si>
  <si>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</si>
  <si>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</si>
  <si>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</si>
  <si>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</si>
  <si>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</si>
  <si>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</si>
  <si>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</si>
  <si>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</si>
  <si>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</si>
  <si>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</si>
  <si>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</si>
  <si>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</si>
  <si>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</si>
  <si>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</si>
  <si>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</si>
  <si>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</si>
  <si>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</si>
  <si>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</si>
  <si>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</si>
  <si>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</si>
  <si>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</si>
  <si>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</si>
  <si>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</si>
  <si>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</si>
  <si>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</si>
  <si>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</si>
  <si>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</si>
  <si>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</si>
  <si>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</si>
  <si>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</si>
  <si>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</si>
  <si>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</si>
  <si>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</si>
  <si>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</si>
  <si>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</si>
  <si>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</si>
  <si>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</si>
  <si>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</si>
  <si>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</si>
  <si>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</si>
  <si>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</si>
  <si>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</si>
  <si>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</si>
  <si>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</si>
  <si>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</si>
  <si>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</si>
  <si>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</si>
  <si>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</si>
  <si>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</si>
  <si>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</si>
  <si>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</si>
  <si>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</si>
  <si>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</si>
  <si>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</si>
  <si>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</si>
  <si>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</si>
  <si>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</si>
  <si>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</si>
  <si>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</si>
  <si>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</si>
  <si>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</si>
  <si>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</si>
  <si>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</si>
  <si>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</si>
  <si>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</si>
  <si>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</si>
  <si>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</si>
  <si>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</si>
  <si>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</si>
  <si>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</si>
  <si>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</si>
  <si>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</si>
  <si>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</si>
  <si>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</si>
  <si>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</si>
  <si>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</si>
  <si>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</si>
  <si>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</si>
  <si>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</si>
  <si>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</si>
  <si>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</si>
  <si>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</si>
  <si>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</si>
  <si>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</si>
  <si>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</si>
  <si>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</si>
  <si>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</si>
  <si>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</si>
  <si>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</si>
  <si>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</si>
  <si>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</si>
  <si>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</si>
  <si>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</si>
  <si>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</si>
  <si>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</si>
  <si>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</si>
  <si>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</si>
  <si>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</si>
  <si>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</si>
  <si>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</si>
  <si>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</si>
  <si>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</si>
  <si>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</si>
  <si>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</si>
  <si>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</si>
  <si>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</si>
  <si>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</si>
  <si>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</si>
  <si>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</si>
  <si>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</si>
  <si>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</si>
  <si>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</si>
  <si>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</si>
  <si>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</si>
  <si>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</si>
  <si>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</si>
  <si>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</si>
  <si>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</si>
  <si>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</si>
  <si>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</si>
  <si>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</si>
  <si>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</si>
  <si>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</si>
  <si>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</si>
  <si>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</si>
  <si>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</si>
  <si>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</si>
  <si>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</si>
  <si>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</si>
  <si>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</si>
  <si>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</si>
  <si>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</si>
  <si>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</si>
  <si>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</si>
  <si>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</si>
  <si>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</si>
  <si>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</si>
  <si>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</si>
  <si>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</si>
  <si>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</si>
  <si>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</si>
  <si>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</si>
  <si>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</si>
  <si>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</si>
  <si>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</si>
  <si>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</si>
  <si>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</si>
  <si>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</si>
  <si>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</si>
  <si>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</si>
  <si>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</si>
  <si>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</si>
  <si>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</si>
  <si>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</si>
  <si>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</si>
  <si>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</si>
  <si>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</si>
  <si>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</si>
  <si>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</si>
  <si>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</si>
  <si>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</si>
  <si>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</si>
  <si>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</si>
  <si>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</si>
  <si>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</si>
  <si>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</si>
  <si>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</si>
  <si>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</si>
  <si>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</si>
  <si>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</si>
  <si>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</si>
  <si>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</si>
  <si>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</si>
  <si>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</si>
  <si>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</si>
  <si>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</si>
  <si>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</si>
  <si>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</si>
  <si>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</si>
  <si>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</si>
  <si>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</si>
  <si>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</si>
  <si>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</si>
  <si>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</si>
  <si>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</si>
  <si>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</si>
  <si>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</si>
  <si>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</si>
  <si>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</si>
  <si>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</si>
  <si>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</si>
  <si>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</si>
  <si>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</si>
  <si>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</si>
  <si>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</si>
  <si>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</si>
  <si>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</si>
  <si>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</si>
  <si>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</si>
  <si>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</si>
  <si>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</si>
  <si>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</si>
  <si>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</si>
  <si>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</si>
  <si>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</si>
  <si>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</si>
  <si>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</si>
  <si>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</si>
  <si>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</si>
  <si>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</si>
  <si>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</si>
  <si>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</si>
  <si>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</si>
  <si>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</si>
  <si>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</si>
  <si>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</si>
  <si>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</si>
  <si>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</si>
  <si>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</si>
  <si>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</si>
  <si>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</si>
  <si>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</si>
  <si>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</si>
  <si>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</si>
  <si>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</si>
  <si>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</si>
  <si>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</si>
  <si>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</si>
  <si>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</si>
  <si>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</si>
  <si>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</si>
  <si>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</si>
  <si>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</si>
  <si>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</si>
  <si>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</si>
  <si>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</si>
  <si>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</si>
  <si>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</si>
  <si>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</si>
  <si>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</si>
  <si>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</si>
  <si>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</si>
  <si>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</si>
  <si>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</si>
  <si>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</si>
  <si>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</si>
  <si>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</si>
  <si>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</si>
  <si>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</si>
  <si>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</si>
  <si>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</si>
  <si>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</si>
  <si>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</si>
  <si>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</si>
  <si>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</si>
  <si>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</si>
  <si>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</si>
  <si>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</si>
  <si>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</si>
  <si>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</si>
  <si>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</si>
  <si>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</si>
  <si>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</si>
  <si>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</si>
  <si>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</si>
  <si>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</si>
  <si>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</si>
  <si>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</si>
  <si>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</si>
  <si>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</si>
  <si>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</si>
  <si>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</si>
  <si>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</si>
  <si>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</si>
  <si>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</si>
  <si>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</si>
  <si>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</si>
  <si>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</si>
  <si>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</si>
  <si>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</si>
  <si>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</si>
  <si>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</si>
  <si>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</si>
  <si>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</si>
  <si>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</si>
  <si>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</si>
  <si>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</si>
  <si>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</si>
  <si>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</si>
  <si>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</si>
  <si>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</si>
  <si>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</si>
  <si>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</si>
  <si>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</si>
  <si>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</si>
  <si>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</si>
  <si>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</si>
  <si>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</si>
  <si>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</si>
  <si>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</si>
  <si>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</si>
  <si>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</si>
  <si>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</si>
  <si>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</si>
  <si>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</si>
  <si>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</si>
  <si>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</si>
  <si>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</si>
  <si>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</si>
  <si>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</si>
  <si>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</si>
  <si>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</si>
  <si>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</si>
  <si>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</si>
  <si>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</si>
  <si>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</si>
  <si>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</si>
  <si>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</si>
  <si>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</si>
  <si>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</si>
  <si>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</si>
  <si>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</si>
  <si>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</si>
  <si>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</si>
  <si>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</si>
  <si>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</si>
  <si>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</si>
  <si>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</si>
  <si>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</si>
  <si>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</si>
  <si>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</si>
  <si>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</si>
  <si>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</si>
  <si>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</si>
  <si>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</si>
  <si>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</si>
  <si>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</si>
  <si>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</si>
  <si>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</si>
  <si>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</si>
  <si>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</si>
  <si>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</si>
  <si>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</si>
  <si>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</si>
  <si>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</si>
  <si>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</si>
  <si>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</si>
  <si>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</si>
  <si>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</si>
  <si>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</si>
  <si>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</si>
  <si>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</si>
  <si>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</si>
  <si>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</si>
  <si>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</si>
  <si>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</si>
  <si>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</si>
  <si>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</si>
  <si>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</si>
  <si>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</si>
  <si>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</si>
  <si>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</si>
  <si>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</si>
  <si>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</si>
  <si>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</si>
  <si>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</si>
  <si>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</si>
  <si>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</si>
  <si>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</si>
  <si>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</si>
  <si>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</si>
  <si>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</si>
  <si>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</si>
  <si>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</si>
  <si>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</si>
  <si>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</si>
  <si>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</si>
  <si>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</si>
  <si>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</si>
  <si>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</si>
  <si>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</si>
  <si>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</si>
  <si>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</si>
  <si>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</si>
  <si>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</si>
  <si>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</si>
  <si>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</si>
  <si>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</si>
  <si>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</si>
  <si>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</si>
  <si>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</si>
  <si>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</si>
  <si>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</si>
  <si>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</si>
  <si>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</si>
  <si>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</si>
  <si>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</si>
  <si>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</si>
  <si>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</si>
  <si>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</si>
  <si>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</si>
  <si>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</si>
  <si>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</si>
  <si>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</si>
  <si>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</si>
  <si>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</si>
  <si>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</si>
  <si>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</si>
  <si>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</si>
  <si>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</si>
  <si>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</si>
  <si>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</si>
  <si>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</si>
  <si>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</si>
  <si>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</si>
  <si>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</si>
  <si>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</si>
  <si>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</si>
  <si>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</si>
  <si>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</si>
  <si>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</si>
  <si>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</si>
  <si>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</si>
  <si>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</si>
  <si>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</si>
  <si>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</si>
  <si>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</si>
  <si>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</si>
  <si>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</si>
  <si>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</si>
  <si>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</si>
  <si>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</si>
  <si>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</si>
  <si>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</si>
  <si>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</si>
  <si>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</si>
  <si>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</si>
  <si>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</si>
  <si>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</si>
  <si>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</si>
  <si>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</si>
  <si>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</si>
  <si>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</si>
  <si>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</si>
  <si>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</si>
  <si>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</si>
  <si>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</si>
  <si>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</si>
  <si>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</si>
  <si>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</si>
  <si>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</si>
  <si>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</si>
  <si>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</si>
  <si>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</si>
  <si>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</si>
  <si>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</si>
  <si>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</si>
  <si>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</si>
  <si>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</si>
  <si>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</si>
  <si>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</si>
  <si>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</si>
  <si>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</si>
  <si>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</si>
  <si>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</si>
  <si>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</si>
  <si>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</si>
  <si>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</si>
  <si>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</si>
  <si>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</si>
  <si>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</si>
  <si>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</si>
  <si>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</si>
  <si>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</si>
  <si>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</si>
  <si>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</si>
  <si>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</si>
  <si>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</si>
  <si>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</si>
  <si>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</si>
  <si>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</si>
  <si>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</si>
  <si>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</si>
  <si>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</si>
  <si>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</si>
  <si>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</si>
  <si>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</si>
  <si>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</si>
  <si>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</si>
  <si>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</si>
  <si>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</si>
  <si>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</si>
  <si>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</si>
  <si>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</si>
  <si>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</si>
  <si>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</si>
  <si>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</si>
  <si>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</si>
  <si>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</si>
  <si>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</si>
  <si>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</si>
  <si>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</si>
  <si>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</si>
  <si>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</si>
  <si>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</si>
  <si>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</si>
  <si>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</si>
  <si>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</si>
  <si>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</si>
  <si>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</si>
  <si>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</si>
  <si>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</si>
  <si>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</si>
  <si>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</si>
  <si>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</si>
  <si>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</si>
  <si>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</si>
  <si>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</si>
  <si>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</si>
  <si>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</si>
  <si>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</si>
  <si>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</si>
  <si>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</si>
  <si>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</si>
  <si>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</si>
  <si>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</si>
  <si>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</si>
  <si>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</si>
  <si>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</si>
  <si>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</si>
  <si>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</si>
  <si>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</si>
  <si>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</si>
  <si>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</si>
  <si>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</si>
  <si>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</si>
  <si>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</si>
  <si>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</si>
  <si>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</si>
  <si>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</si>
  <si>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</si>
  <si>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</si>
  <si>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</si>
  <si>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</si>
  <si>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</si>
  <si>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</si>
  <si>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</si>
  <si>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</si>
  <si>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</si>
  <si>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</si>
  <si>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</si>
  <si>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</si>
  <si>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</si>
  <si>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</si>
  <si>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</si>
  <si>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Warner Center II </t>
  </si>
  <si>
    <t xml:space="preserve">Warner Center II, L.P. </t>
  </si>
  <si>
    <t>Community Housing Program Manager</t>
  </si>
  <si>
    <t xml:space="preserve">Timothy Elliot </t>
  </si>
  <si>
    <t xml:space="preserve">(213) 808-8596 </t>
  </si>
  <si>
    <t>(213) 808-8910</t>
  </si>
  <si>
    <t>timothy.elliott@lacity.org</t>
  </si>
  <si>
    <t>1200 W. 7th Street, 8th Floor</t>
  </si>
  <si>
    <t>May</t>
  </si>
  <si>
    <t xml:space="preserve">Tarun Chandran </t>
  </si>
  <si>
    <t>Vice President of the sole member
of its managing general partner</t>
  </si>
  <si>
    <t>Meta Development, LLC</t>
  </si>
  <si>
    <t xml:space="preserve">Warner Center II, LLC </t>
  </si>
  <si>
    <t>Administrative GP</t>
  </si>
  <si>
    <t xml:space="preserve">FFAH V Warner Center II, LLC </t>
  </si>
  <si>
    <t>Managing GP</t>
  </si>
  <si>
    <t xml:space="preserve">Foundation For Affordable Housing V, Inc.  </t>
  </si>
  <si>
    <t>Solari Enterprises, Inc</t>
  </si>
  <si>
    <t>21320 Oxnard Street</t>
  </si>
  <si>
    <t>2149-002-032</t>
  </si>
  <si>
    <t>40%/60% Average Income</t>
  </si>
  <si>
    <t>11150 W Olympic Blvd Ste 620</t>
  </si>
  <si>
    <t>CA</t>
  </si>
  <si>
    <t xml:space="preserve">Loren Messeri </t>
  </si>
  <si>
    <t>lmesseri@metahousing.com</t>
  </si>
  <si>
    <t xml:space="preserve">Los Angeles </t>
  </si>
  <si>
    <t xml:space="preserve">18575 Jamboree Rd, Suite #120 </t>
  </si>
  <si>
    <t xml:space="preserve">Irvine </t>
  </si>
  <si>
    <t xml:space="preserve">tarun@ffah.org </t>
  </si>
  <si>
    <t xml:space="preserve">Meta Development, LLC </t>
  </si>
  <si>
    <t xml:space="preserve">Aaron Mandel </t>
  </si>
  <si>
    <t>(310) 575-3543</t>
  </si>
  <si>
    <t>(310) 575-3563</t>
  </si>
  <si>
    <t>amandel@metahousing.com</t>
  </si>
  <si>
    <t xml:space="preserve">Developer </t>
  </si>
  <si>
    <t>Los Angeles, CA, 90064</t>
  </si>
  <si>
    <t xml:space="preserve">AC Martin </t>
  </si>
  <si>
    <t>900 Wilshire Blvd Ste 2800</t>
  </si>
  <si>
    <t>Los Angeles, CA 90017</t>
  </si>
  <si>
    <t>Matthew Cobo</t>
  </si>
  <si>
    <t>(213) 614-6101</t>
  </si>
  <si>
    <t>matthew.cobo@acmartin.com</t>
  </si>
  <si>
    <t>Bocarsly Emden Cowan Esmail &amp; Arndt LLP</t>
  </si>
  <si>
    <t>633 W 5th St Ste 7000</t>
  </si>
  <si>
    <t>Los Angeles, CA 90071</t>
  </si>
  <si>
    <t>Juan Bustamante</t>
  </si>
  <si>
    <t>(213) 239-8082</t>
  </si>
  <si>
    <t xml:space="preserve">(213) 239-0410	</t>
  </si>
  <si>
    <t>jbustamante@bocarsly.com</t>
  </si>
  <si>
    <t>R.D. Olson Construction</t>
  </si>
  <si>
    <t xml:space="preserve">400 Spectrum Center Drive Suite 1200
</t>
  </si>
  <si>
    <t>Irvine, CA 92618</t>
  </si>
  <si>
    <t xml:space="preserve">Marc Tran </t>
  </si>
  <si>
    <t>(949) 222-3746</t>
  </si>
  <si>
    <t>mtran@rdolson.com</t>
  </si>
  <si>
    <t>Novogradac &amp; Company, LLP</t>
  </si>
  <si>
    <t>211 E Ocean Blvd 6th Floor</t>
  </si>
  <si>
    <t>Long Beach, CA 90802</t>
  </si>
  <si>
    <t xml:space="preserve">Bill Letsinger										</t>
  </si>
  <si>
    <t xml:space="preserve">(562) 256-2340					</t>
  </si>
  <si>
    <t>(562) 432-9483</t>
  </si>
  <si>
    <t xml:space="preserve">Bill.Letsinger@novoco.com										</t>
  </si>
  <si>
    <t>Bank of America, N.A.</t>
  </si>
  <si>
    <t>333 S.Hope St, 20th Floor</t>
  </si>
  <si>
    <t>Brandon Butcher</t>
  </si>
  <si>
    <t xml:space="preserve">(213) 621-4850 </t>
  </si>
  <si>
    <t>(213) 621-4829</t>
  </si>
  <si>
    <t>brandon.butcher@bofa.com</t>
  </si>
  <si>
    <t>Sara Nachbar</t>
  </si>
  <si>
    <t>(913) 312-4616</t>
  </si>
  <si>
    <t>sara.nachbar@novoco.com</t>
  </si>
  <si>
    <t>California Municipal Finance Authority</t>
  </si>
  <si>
    <t>2111 Palomar Airport Rd Ste 320</t>
  </si>
  <si>
    <t>Carlsbad, CA, 92011</t>
  </si>
  <si>
    <t>Anthony Stubbs</t>
  </si>
  <si>
    <t>(760) 930-1333</t>
  </si>
  <si>
    <t>(760) 683-3390</t>
  </si>
  <si>
    <t>astubbs@cmfa-ca.com</t>
  </si>
  <si>
    <t>1507 W. Yale Ave.</t>
  </si>
  <si>
    <t>Orange, CA 92867</t>
  </si>
  <si>
    <t>Mary Ann Oliver</t>
  </si>
  <si>
    <t xml:space="preserve">(714) 282-2520 </t>
  </si>
  <si>
    <t xml:space="preserve">(714) 769-6853 </t>
  </si>
  <si>
    <t>maryann@solari-ent.com</t>
  </si>
  <si>
    <t xml:space="preserve">Warner Lily, LLC </t>
  </si>
  <si>
    <t>Raymond Saviss</t>
  </si>
  <si>
    <t xml:space="preserve">Principal </t>
  </si>
  <si>
    <t xml:space="preserve">1762 Westwood Boulevard, Suite 350 </t>
  </si>
  <si>
    <t>Joseph Golshan</t>
  </si>
  <si>
    <t>Secured by Leasehold Interest</t>
  </si>
  <si>
    <t>Inner City Infill Site</t>
  </si>
  <si>
    <t>Warner Center Specific Plan 2035 - Commerce</t>
  </si>
  <si>
    <t>Warner Center Specific Plan 2035 - 184 units</t>
  </si>
  <si>
    <t>Warner Center Specific Plan 2035 - 128 units</t>
  </si>
  <si>
    <t xml:space="preserve">The Project received a density bonus and is required to restrict 100% of its units to low- and moderate-income households. </t>
  </si>
  <si>
    <t>84 feet</t>
  </si>
  <si>
    <t>0.5 parking spaces per unit</t>
  </si>
  <si>
    <t>City of Los Angeles Utility Allowance (effective 12/1/2024)</t>
  </si>
  <si>
    <t xml:space="preserve">Electric Air Conditioning </t>
  </si>
  <si>
    <t>Administrative &amp; Business Licenses</t>
  </si>
  <si>
    <t>4.5 FTE</t>
  </si>
  <si>
    <t>Employee Benefits &amp; Staff Rent-Free Units</t>
  </si>
  <si>
    <t>Fire Alarm / Fire Sprinkler</t>
  </si>
  <si>
    <t xml:space="preserve">Warner Center II, LLC; an affiliate of Meta Development, LLC </t>
  </si>
  <si>
    <t>California Municipal Finance Authority (CMFA)</t>
  </si>
  <si>
    <t>Provided</t>
  </si>
  <si>
    <t>Not Applicable</t>
  </si>
  <si>
    <t>0. 0049</t>
  </si>
  <si>
    <t>(818) 212-794</t>
  </si>
  <si>
    <t>Citibank - Tax-Exempt Loan</t>
  </si>
  <si>
    <t>Citibank - Taxable Loan</t>
  </si>
  <si>
    <t>Citibank - Reissued Tax-Exempt Loan</t>
  </si>
  <si>
    <t>Tax Credit Equity - Federal</t>
  </si>
  <si>
    <t>Tax Credit Equity - State</t>
  </si>
  <si>
    <t>Deferred Operating Reserve</t>
  </si>
  <si>
    <t>Deferred Developer Fee &amp; Costs</t>
  </si>
  <si>
    <t>Citibank Tax-Exempt Loan</t>
  </si>
  <si>
    <t>300 S. Grand Ave., Suite 3110</t>
  </si>
  <si>
    <t xml:space="preserve">Hao Li </t>
  </si>
  <si>
    <t>(213) 239-1914</t>
  </si>
  <si>
    <t>Construction Loan - Tax-Exempt</t>
  </si>
  <si>
    <t>Construction Loan - Taxable</t>
  </si>
  <si>
    <t xml:space="preserve">Brandon Butcher </t>
  </si>
  <si>
    <t>(213) 621-4850</t>
  </si>
  <si>
    <t>Tax Credit Equity</t>
  </si>
  <si>
    <t>11150 W. Olympic Blvd., Suite 620</t>
  </si>
  <si>
    <t>George Russo</t>
  </si>
  <si>
    <t xml:space="preserve">Deferred Developer Fee and Costs </t>
  </si>
  <si>
    <t>Permanent Loan - Tax-Exempt</t>
  </si>
  <si>
    <t>11150 W. Olympic Blvd, Suite 620</t>
  </si>
  <si>
    <t>Other: CMFA Issuer Fee &amp; City of LA Land Use Covenant Monitoring Fee:</t>
  </si>
  <si>
    <t>Other: P&amp;P Bonds</t>
  </si>
  <si>
    <t xml:space="preserve">Other: Partnership Legal/Other </t>
  </si>
  <si>
    <t>Other: Utility Connections/Deposits</t>
  </si>
  <si>
    <t>Other: Organizational Costs &amp; Misc. Fees</t>
  </si>
  <si>
    <t>Ground Lease Interest Prior to Conversion</t>
  </si>
  <si>
    <t xml:space="preserve">Other: Perm Loan Interest (Construction Loans) </t>
  </si>
  <si>
    <t>(312) 219-8360</t>
  </si>
  <si>
    <t xml:space="preserve">Safehold Inc. </t>
  </si>
  <si>
    <t>Fixed</t>
  </si>
  <si>
    <t>Owner-Hosted Broadband , Storage</t>
  </si>
  <si>
    <t>Owner-Hosted Broadband:</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</si>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</sst>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0" fillId="43" borderId="6" xfId="0" applyFill="1" applyBorder="1" applyAlignment="1" applyProtection="1">
      <alignment horizontal="center"/>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16" fillId="0" borderId="11" xfId="543" applyNumberFormat="1" applyBorder="1" applyAlignment="1">
      <alignment horizont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82" fontId="24" fillId="43" borderId="11" xfId="8721" applyNumberFormat="1" applyFont="1" applyFill="1" applyBorder="1" applyAlignment="1" applyProtection="1">
      <alignment horizontal="center" vertical="center" wrapText="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6" fillId="5" borderId="4" xfId="0" applyFont="1" applyFill="1" applyBorder="1" applyAlignment="1" applyProtection="1">
      <alignment wrapText="1"/>
      <protection locked="0"/>
    </xf>
    <xf numFmtId="166" fontId="25" fillId="5" borderId="4" xfId="0" applyNumberFormat="1" applyFont="1" applyFill="1" applyBorder="1" applyAlignment="1" applyProtection="1">
      <alignment horizontal="lef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0" fontId="16" fillId="5" borderId="11" xfId="0" applyFont="1" applyFill="1" applyBorder="1" applyAlignment="1" applyProtection="1">
      <alignment horizontal="left" wrapText="1"/>
      <protection locked="0"/>
    </xf>
    <xf numFmtId="0" fontId="25" fillId="5" borderId="4" xfId="0" applyFont="1" applyFill="1" applyBorder="1" applyAlignment="1" applyProtection="1">
      <alignment wrapText="1"/>
      <protection locked="0"/>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0" borderId="11" xfId="0"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0" fillId="0" borderId="9" xfId="0" applyBorder="1" applyAlignment="1">
      <alignment horizontal="left"/>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 fontId="25" fillId="5" borderId="11" xfId="0" applyNumberFormat="1"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0" xfId="0" applyFon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23" fillId="0" borderId="11" xfId="0" applyFont="1" applyBorder="1" applyAlignment="1">
      <alignment horizontal="center"/>
    </xf>
    <xf numFmtId="0" fontId="16" fillId="43" borderId="11" xfId="0" applyFont="1" applyFill="1" applyBorder="1" applyAlignment="1" applyProtection="1">
      <alignment horizontal="center"/>
      <protection locked="0"/>
    </xf>
    <xf numFmtId="168" fontId="0" fillId="0" borderId="11" xfId="0" applyNumberFormat="1" applyBorder="1" applyAlignment="1">
      <alignment horizontal="center"/>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71" fontId="16" fillId="0" borderId="0" xfId="543" applyNumberFormat="1" applyAlignment="1">
      <alignment horizontal="right"/>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Protection="1">
      <protection locked="0"/>
    </xf>
    <xf numFmtId="0" fontId="25" fillId="0" borderId="3" xfId="0" applyFont="1" applyBorder="1" applyAlignment="1">
      <alignment horizontal="left"/>
    </xf>
    <xf numFmtId="168" fontId="0" fillId="0" borderId="11" xfId="0" applyNumberFormat="1" applyBorder="1" applyAlignment="1">
      <alignment horizontal="right"/>
    </xf>
    <xf numFmtId="0" fontId="16" fillId="43" borderId="3"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43" borderId="3"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71" fontId="16" fillId="0" borderId="0" xfId="543" applyNumberFormat="1" applyAlignment="1">
      <alignment horizontal="center"/>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23"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6" fillId="5" borderId="11" xfId="0" applyFon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0" borderId="12" xfId="0" applyBorder="1" applyAlignment="1">
      <alignment horizontal="center"/>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4" fontId="0" fillId="5" borderId="4"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0" fontId="23" fillId="0" borderId="6" xfId="0" applyFont="1" applyBorder="1" applyAlignment="1">
      <alignment horizontal="center"/>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168" fontId="155" fillId="0" borderId="0" xfId="0" applyNumberFormat="1" applyFont="1" applyAlignment="1">
      <alignment horizontal="center" vertical="center" wrapText="1"/>
    </xf>
    <xf numFmtId="0" fontId="25" fillId="0" borderId="11" xfId="0" applyFont="1" applyBorder="1" applyAlignment="1">
      <alignment horizontal="center" vertical="top" wrapText="1"/>
    </xf>
    <xf numFmtId="14" fontId="25" fillId="5" borderId="4"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4" fillId="43" borderId="6" xfId="0" applyFont="1" applyFill="1" applyBorder="1" applyAlignment="1" applyProtection="1">
      <alignment horizontal="left"/>
      <protection locked="0"/>
    </xf>
    <xf numFmtId="0" fontId="25" fillId="5" borderId="11" xfId="0" applyFont="1" applyFill="1" applyBorder="1" applyAlignment="1" applyProtection="1">
      <alignment horizontal="center"/>
      <protection locked="0"/>
    </xf>
    <xf numFmtId="0" fontId="23" fillId="0" borderId="4" xfId="0" applyFont="1" applyBorder="1" applyAlignment="1">
      <alignment horizontal="center"/>
    </xf>
    <xf numFmtId="0" fontId="23"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23" fillId="0" borderId="3" xfId="0" applyFont="1" applyBorder="1" applyAlignment="1">
      <alignment horizontal="center"/>
    </xf>
    <xf numFmtId="10" fontId="25" fillId="0" borderId="11" xfId="0" applyNumberFormat="1" applyFont="1" applyBorder="1" applyAlignment="1">
      <alignment horizontal="center"/>
    </xf>
    <xf numFmtId="10" fontId="25"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168" fontId="25"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78" fontId="25" fillId="5" borderId="4" xfId="0" applyNumberFormat="1" applyFont="1" applyFill="1" applyBorder="1" applyAlignment="1" applyProtection="1">
      <alignment horizontal="righ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4"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0" fontId="16" fillId="0" borderId="0" xfId="271" applyFont="1" applyAlignment="1">
      <alignment horizontal="left" vertical="top"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6" xfId="0" applyFont="1" applyBorder="1" applyAlignment="1" applyProtection="1">
      <alignment horizontal="center" wrapText="1"/>
      <protection locked="0"/>
    </xf>
    <xf numFmtId="0" fontId="16"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0" fillId="0" borderId="0" xfId="0" applyAlignment="1">
      <alignment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0" borderId="0" xfId="0" applyAlignment="1">
      <alignment vertical="top" wrapText="1"/>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8" fontId="16" fillId="0" borderId="3" xfId="0" applyNumberFormat="1" applyFont="1" applyBorder="1" applyAlignment="1">
      <alignment horizontal="left" vertical="top"/>
    </xf>
    <xf numFmtId="1" fontId="0" fillId="5" borderId="6" xfId="0" applyNumberFormat="1" applyFill="1" applyBorder="1" applyAlignment="1" applyProtection="1">
      <alignment horizontal="center"/>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68" fontId="25" fillId="0" borderId="11" xfId="0" applyNumberFormat="1" applyFont="1" applyBorder="1" applyAlignment="1">
      <alignment horizontal="center"/>
    </xf>
    <xf numFmtId="0" fontId="16"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5" fillId="0" borderId="11" xfId="0" applyNumberFormat="1" applyFont="1" applyBorder="1" applyAlignment="1">
      <alignment horizontal="center"/>
    </xf>
    <xf numFmtId="1" fontId="25" fillId="5" borderId="11" xfId="0" quotePrefix="1" applyNumberFormat="1"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9" xfId="0"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J378" sqref="J37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549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2603</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2602</v>
      </c>
      <c r="E18" s="441"/>
      <c r="G18" s="441"/>
      <c r="H18" s="441"/>
      <c r="I18" s="441"/>
      <c r="J18" s="1265" t="s">
        <v>2601</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2035</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2036</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2517</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2140</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2043</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2044</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652</v>
      </c>
      <c r="F40" s="1263" t="s">
        <v>1162</v>
      </c>
    </row>
    <row r="41" spans="1:38" s="1263"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1244</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3" t="s">
        <v>2038</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6" t="s">
        <v>1189</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574</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3" t="s">
        <v>1164</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508</v>
      </c>
      <c r="G67" s="1263" t="s">
        <v>1165</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3" t="s">
        <v>1166</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508</v>
      </c>
      <c r="G72" s="1263" t="s">
        <v>1167</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1168</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1169</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3" t="s">
        <v>1170</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1171</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3" t="s">
        <v>1172</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1173</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3" t="s">
        <v>1174</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3" t="s">
        <v>1153</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66" t="s">
        <v>1233</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1235</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1234</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7" t="s">
        <v>1224</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1267</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22" sqref="G122:H12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1583</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35537072</v>
      </c>
      <c r="I3" s="1105"/>
    </row>
    <row r="4" spans="1:13" s="1051" customFormat="1" ht="20.100000000000001" customHeight="1">
      <c r="B4" s="1094"/>
      <c r="D4" s="1108"/>
      <c r="F4" s="1092" t="s">
        <v>1990</v>
      </c>
      <c r="G4" s="1091" t="s">
        <v>1989</v>
      </c>
      <c r="H4" s="1093">
        <f>I18</f>
        <v>30941862.74509804</v>
      </c>
      <c r="I4" s="1095"/>
      <c r="K4" s="1055"/>
    </row>
    <row r="5" spans="1:13" s="1051" customFormat="1" ht="20.100000000000001" customHeight="1" thickBot="1">
      <c r="B5" s="1096"/>
      <c r="C5" s="1097"/>
      <c r="D5" s="1109"/>
      <c r="E5" s="1098"/>
      <c r="F5" s="1109" t="s">
        <v>1940</v>
      </c>
      <c r="G5" s="1110"/>
      <c r="H5" s="1106">
        <f>IFERROR(H3/H4,0)</f>
        <v>1.1485110735820181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1938</v>
      </c>
      <c r="C8" s="2663"/>
      <c r="D8" s="2663"/>
      <c r="E8" s="2664"/>
      <c r="G8" s="2665" t="s">
        <v>1939</v>
      </c>
      <c r="H8" s="2666"/>
      <c r="I8" s="2667"/>
      <c r="K8" s="1057"/>
    </row>
    <row r="9" spans="1:13" ht="15" customHeight="1">
      <c r="A9" s="1046"/>
      <c r="B9" s="2660" t="s">
        <v>1972</v>
      </c>
      <c r="C9" s="2660"/>
      <c r="D9" s="2660"/>
      <c r="E9" s="1059">
        <f>G33</f>
        <v>8070000</v>
      </c>
      <c r="G9" s="2668" t="s">
        <v>1970</v>
      </c>
      <c r="H9" s="2668"/>
      <c r="I9" s="1060">
        <f>SUMIF(Application!M554:M565,"Loan, Tax-Exempt",Application!AM554:AM565)</f>
        <v>27800000</v>
      </c>
      <c r="K9" s="1061"/>
      <c r="M9" s="1062"/>
    </row>
    <row r="10" spans="1:13" ht="15" customHeight="1" thickBot="1">
      <c r="A10" s="1046"/>
      <c r="B10" s="2660" t="s">
        <v>1973</v>
      </c>
      <c r="C10" s="2660"/>
      <c r="D10" s="2660"/>
      <c r="E10" s="1060">
        <f>G47</f>
        <v>14133672.000000002</v>
      </c>
      <c r="G10" s="2672" t="s">
        <v>1941</v>
      </c>
      <c r="H10" s="2672"/>
      <c r="I10" s="1140">
        <f>'Basis &amp; Credits'!AB78</f>
        <v>7000000</v>
      </c>
      <c r="M10" s="1062"/>
    </row>
    <row r="11" spans="1:13" ht="15" customHeight="1">
      <c r="A11" s="1046"/>
      <c r="B11" s="2676" t="s">
        <v>2262</v>
      </c>
      <c r="C11" s="2677"/>
      <c r="D11" s="2678"/>
      <c r="E11" s="1060">
        <f>SUM(E12,E13)</f>
        <v>260000</v>
      </c>
      <c r="G11" s="2675" t="s">
        <v>1981</v>
      </c>
      <c r="H11" s="2675"/>
      <c r="I11" s="1139">
        <f>I9+I10</f>
        <v>34800000</v>
      </c>
      <c r="M11" s="1062"/>
    </row>
    <row r="12" spans="1:13" ht="15" customHeight="1">
      <c r="A12" s="1063"/>
      <c r="B12" s="2661" t="s">
        <v>2264</v>
      </c>
      <c r="C12" s="2661"/>
      <c r="D12" s="2661"/>
      <c r="E12" s="1165">
        <f>G56</f>
        <v>0</v>
      </c>
      <c r="M12" s="1062"/>
    </row>
    <row r="13" spans="1:13" ht="15" customHeight="1">
      <c r="A13" s="1049"/>
      <c r="B13" s="2661" t="s">
        <v>2265</v>
      </c>
      <c r="C13" s="2661"/>
      <c r="D13" s="2661"/>
      <c r="E13" s="1165">
        <f>G65</f>
        <v>260000</v>
      </c>
      <c r="G13" s="2665" t="s">
        <v>2004</v>
      </c>
      <c r="H13" s="2666"/>
      <c r="I13" s="2667"/>
      <c r="M13" s="1062"/>
    </row>
    <row r="14" spans="1:13" ht="15" customHeight="1">
      <c r="A14" s="1049"/>
      <c r="B14" s="2676" t="s">
        <v>2263</v>
      </c>
      <c r="C14" s="2677"/>
      <c r="D14" s="2678"/>
      <c r="E14" s="1167">
        <f>MAX(E15,E16)+E17</f>
        <v>13073400</v>
      </c>
      <c r="G14" s="2668" t="s">
        <v>139</v>
      </c>
      <c r="H14" s="2668"/>
      <c r="I14" s="1064">
        <f>15%*(AND(G120="Yes",G122&lt;&gt;""))</f>
        <v>0</v>
      </c>
      <c r="M14" s="1062"/>
    </row>
    <row r="15" spans="1:13" ht="15" customHeight="1">
      <c r="A15" s="1049"/>
      <c r="B15" s="2679" t="s">
        <v>2269</v>
      </c>
      <c r="C15" s="2680"/>
      <c r="D15" s="2681"/>
      <c r="E15" s="1165">
        <f>G80</f>
        <v>3228000</v>
      </c>
      <c r="G15" s="1137" t="s">
        <v>1982</v>
      </c>
      <c r="H15" s="1137"/>
      <c r="I15" s="1064">
        <f>IF(Application!AJ1032&gt;0,10%,IF(Application!AJ1036&gt;0,5%,0))</f>
        <v>0.05</v>
      </c>
      <c r="M15" s="1062"/>
    </row>
    <row r="16" spans="1:13" ht="15" customHeight="1">
      <c r="A16" s="1049"/>
      <c r="B16" s="2679" t="s">
        <v>2268</v>
      </c>
      <c r="C16" s="2680"/>
      <c r="D16" s="2681"/>
      <c r="E16" s="1165">
        <f>G90</f>
        <v>0</v>
      </c>
      <c r="G16" s="2668" t="s">
        <v>1983</v>
      </c>
      <c r="H16" s="2668"/>
      <c r="I16" s="1064">
        <f>G132</f>
        <v>6.0866013071895424E-2</v>
      </c>
    </row>
    <row r="17" spans="1:21" ht="15" customHeight="1" thickBot="1">
      <c r="A17" s="1049"/>
      <c r="B17" s="2679" t="s">
        <v>2267</v>
      </c>
      <c r="C17" s="2680"/>
      <c r="D17" s="2681"/>
      <c r="E17" s="1165">
        <f>G115</f>
        <v>9845400</v>
      </c>
      <c r="G17" s="2668" t="s">
        <v>2277</v>
      </c>
      <c r="H17" s="2668"/>
      <c r="I17" s="1064">
        <f>IF(AND(G139="Yes",OR(G136,G137)),IF(G143&gt;15%,15%,G143),0)</f>
        <v>0</v>
      </c>
    </row>
    <row r="18" spans="1:21" ht="15" customHeight="1">
      <c r="A18" s="1046"/>
      <c r="B18" s="2671" t="s">
        <v>1937</v>
      </c>
      <c r="C18" s="2671"/>
      <c r="D18" s="2671"/>
      <c r="E18" s="1111">
        <f>SUM(E9:E11,E14)</f>
        <v>35537072</v>
      </c>
      <c r="G18" s="1138" t="s">
        <v>1971</v>
      </c>
      <c r="H18" s="1138"/>
      <c r="I18" s="1112">
        <f>I11-((I11*I14)+(I11*I15)+(I11*I16)+(I11*I17))</f>
        <v>30941862.74509804</v>
      </c>
      <c r="M18" s="1065">
        <f>SUM(Cdlac[Quantity])</f>
        <v>127</v>
      </c>
      <c r="O18" s="1084" t="s">
        <v>581</v>
      </c>
      <c r="P18" s="1044">
        <f>MATCH(Application!T189,Application!CB160:CB217,0)</f>
        <v>19</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2260</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7</v>
      </c>
      <c r="N21" s="1071">
        <f>Application!AC719</f>
        <v>0.3</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1985</v>
      </c>
      <c r="D22" s="2669" t="s">
        <v>1986</v>
      </c>
      <c r="E22" s="2669" t="s">
        <v>1987</v>
      </c>
      <c r="F22" s="2669" t="s">
        <v>2608</v>
      </c>
      <c r="G22" s="2669" t="s">
        <v>1984</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9</v>
      </c>
      <c r="N23" s="1071">
        <f>Application!AC721</f>
        <v>0.6</v>
      </c>
      <c r="O23" s="1071">
        <f>IF(Cdlac[[#This Row],[Quantity]]&gt;0,IF(Cdlac[[#This Row],[Federal]],30%,IF(AND(OR(NOT($G$38),$G$38=""),$G$43),40%,Cdlac[[#This Row],[iAMI]])),"")</f>
        <v>0.6</v>
      </c>
      <c r="P23" s="1065" cm="1">
        <f t="array" ref="P23">IF(Cdlac[[#This Row],[Quantity]]&gt;0,INDEX(TcacRents,$P$18,Cdlac[[#This Row],[Bedrooms]]+1)*Cdlac[[#This Row],[AMI]],"")</f>
        <v>1704</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377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v>
      </c>
      <c r="F24" s="1072">
        <f>E24</f>
        <v>6</v>
      </c>
      <c r="G24" s="1072">
        <f>D24*F24</f>
        <v>5.4</v>
      </c>
      <c r="L24" s="1044">
        <f>IFERROR(MIN(4,MATCH(Application!B722,UnitSizes,0)-1),"")</f>
        <v>2</v>
      </c>
      <c r="M24" s="1065">
        <f>Application!G722</f>
        <v>7</v>
      </c>
      <c r="N24" s="1071">
        <f>Application!AC722</f>
        <v>0.5</v>
      </c>
      <c r="O24" s="1071">
        <f>IF(Cdlac[[#This Row],[Quantity]]&gt;0,IF(Cdlac[[#This Row],[Federal]],30%,IF(AND(OR(NOT($G$38),$G$38=""),$G$43),40%,Cdlac[[#This Row],[iAMI]])),"")</f>
        <v>0.5</v>
      </c>
      <c r="P24" s="1065" cm="1">
        <f t="array" ref="P24">IF(Cdlac[[#This Row],[Quantity]]&gt;0,INDEX(TcacRents,$P$18,Cdlac[[#This Row],[Bedrooms]]+1)*Cdlac[[#This Row],[AMI]],"")</f>
        <v>1703</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922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2</v>
      </c>
      <c r="M25" s="1065">
        <f>Application!G723</f>
        <v>40</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66</v>
      </c>
      <c r="F26" s="1075">
        <f>SUM(E26:E28)-SUM(F27:F28)</f>
        <v>66</v>
      </c>
      <c r="G26" s="1072">
        <f>D26*F26</f>
        <v>82.5</v>
      </c>
      <c r="H26" s="1074"/>
      <c r="I26" s="1074"/>
      <c r="L26" s="1044">
        <f>IFERROR(MIN(4,MATCH(Application!B724,UnitSizes,0)-1),"")</f>
        <v>2</v>
      </c>
      <c r="M26" s="1065">
        <f>Application!G724</f>
        <v>19</v>
      </c>
      <c r="N26" s="1071">
        <f>Application!AC724</f>
        <v>0.7</v>
      </c>
      <c r="O26" s="1071">
        <f>IF(Cdlac[[#This Row],[Quantity]]&gt;0,IF(Cdlac[[#This Row],[Federal]],30%,IF(AND(OR(NOT($G$38),$G$38=""),$G$43),40%,Cdlac[[#This Row],[iAMI]])),"")</f>
        <v>0.7</v>
      </c>
      <c r="P26" s="1065" cm="1">
        <f t="array" ref="P26">IF(Cdlac[[#This Row],[Quantity]]&gt;0,INDEX(TcacRents,$P$18,Cdlac[[#This Row],[Bedrooms]]+1)*Cdlac[[#This Row],[AMI]],"")</f>
        <v>2384.1999999999998</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240.80000000000018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37</v>
      </c>
      <c r="F27" s="1075">
        <f>MIN(E27,ROUNDDOWN(E29*30%,0))</f>
        <v>37</v>
      </c>
      <c r="G27" s="1072">
        <f>D27*F27</f>
        <v>55.5</v>
      </c>
      <c r="H27" s="1074"/>
      <c r="I27" s="1074"/>
      <c r="L27" s="1044">
        <f>IFERROR(MIN(4,MATCH(Application!B725,UnitSizes,0)-1),"")</f>
        <v>3</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1969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1366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33</v>
      </c>
      <c r="N28" s="1071">
        <f>Application!AC726</f>
        <v>0.7</v>
      </c>
      <c r="O28" s="1071">
        <f>IF(Cdlac[[#This Row],[Quantity]]&gt;0,IF(Cdlac[[#This Row],[Federal]],30%,IF(AND(OR(NOT($G$38),$G$38=""),$G$43),40%,Cdlac[[#This Row],[iAMI]])),"")</f>
        <v>0.7</v>
      </c>
      <c r="P28" s="1065" cm="1">
        <f t="array" ref="P28">IF(Cdlac[[#This Row],[Quantity]]&gt;0,INDEX(TcacRents,$P$18,Cdlac[[#This Row],[Bedrooms]]+1)*Cdlac[[#This Row],[AMI]],"")</f>
        <v>2756.6</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578.40000000000009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1584</v>
      </c>
      <c r="D29" s="2684"/>
      <c r="E29" s="1089">
        <f>SUM(E24:E28)</f>
        <v>127</v>
      </c>
      <c r="F29" s="1089">
        <f>SUM(F24:F28)</f>
        <v>127</v>
      </c>
      <c r="G29" s="1090">
        <f>SUMPRODUCT(D24:D28,F24:F28)</f>
        <v>161.4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161.4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8070000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0.59999999999999987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78520.400000000009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14133672.000000002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63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13</v>
      </c>
    </row>
    <row r="61" spans="2:21" ht="15" customHeight="1">
      <c r="E61" s="1117" t="s">
        <v>1993</v>
      </c>
      <c r="G61" s="1079">
        <f>ROUNDDOWN(E29*50%,0)</f>
        <v>63</v>
      </c>
    </row>
    <row r="62" spans="2:21" ht="15" customHeight="1">
      <c r="E62" s="1117"/>
      <c r="G62" s="1079"/>
    </row>
    <row r="63" spans="2:21" ht="15" customHeight="1">
      <c r="E63" s="1117" t="s">
        <v>1953</v>
      </c>
      <c r="G63" s="1114">
        <f>MIN(G60:G61)</f>
        <v>13</v>
      </c>
    </row>
    <row r="64" spans="2:21" ht="15" customHeight="1">
      <c r="E64" s="1117" t="s">
        <v>1943</v>
      </c>
      <c r="F64" s="1113" t="s">
        <v>1991</v>
      </c>
      <c r="G64" s="1124">
        <v>20000</v>
      </c>
    </row>
    <row r="65" spans="2:14" ht="15" customHeight="1">
      <c r="E65" s="1118" t="s">
        <v>1975</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Yes</v>
      </c>
    </row>
    <row r="71" spans="2:14" ht="15" customHeight="1" thickBot="1">
      <c r="C71" s="1077" t="s">
        <v>1966</v>
      </c>
      <c r="G71" s="1043" t="s">
        <v>668</v>
      </c>
    </row>
    <row r="72" spans="2:14" ht="15" customHeight="1">
      <c r="C72" s="1077" t="s">
        <v>1967</v>
      </c>
      <c r="G72" s="1044" t="str">
        <f>Application!T193</f>
        <v>High Resource</v>
      </c>
      <c r="L72" s="2656" t="s">
        <v>1968</v>
      </c>
      <c r="M72" s="2657"/>
      <c r="N72" s="1131">
        <v>30000</v>
      </c>
    </row>
    <row r="73" spans="2:14" ht="15" customHeight="1">
      <c r="C73" s="2658" t="s">
        <v>2261</v>
      </c>
      <c r="D73" s="2658"/>
      <c r="E73" s="2658"/>
      <c r="F73" s="2658"/>
      <c r="G73" s="1043" t="s">
        <v>668</v>
      </c>
      <c r="L73" s="2673" t="s">
        <v>1936</v>
      </c>
      <c r="M73" s="2674"/>
      <c r="N73" s="1132">
        <v>20000</v>
      </c>
    </row>
    <row r="74" spans="2:14" ht="15" customHeight="1" thickBot="1">
      <c r="C74" s="2658"/>
      <c r="D74" s="2658"/>
      <c r="E74" s="2658"/>
      <c r="F74" s="2658"/>
      <c r="L74" s="2648" t="s">
        <v>1969</v>
      </c>
      <c r="M74" s="2649"/>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20000</v>
      </c>
    </row>
    <row r="79" spans="2:14" ht="15" customHeight="1">
      <c r="E79" s="1084" t="str">
        <f>E96</f>
        <v>Bedroom-Adjusted Low-Income Units</v>
      </c>
      <c r="F79" s="1113" t="s">
        <v>1991</v>
      </c>
      <c r="G79" s="1114">
        <f>G29</f>
        <v>161.4</v>
      </c>
    </row>
    <row r="80" spans="2:14" ht="15" customHeight="1">
      <c r="D80" s="1046"/>
      <c r="E80" s="1118" t="s">
        <v>2266</v>
      </c>
      <c r="F80" s="1046"/>
      <c r="G80" s="1123">
        <f>G79*G78*G76</f>
        <v>3228000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161.4</v>
      </c>
    </row>
    <row r="89" spans="2:9" ht="15" customHeight="1">
      <c r="E89" s="1084" t="s">
        <v>1943</v>
      </c>
      <c r="F89" s="1113" t="s">
        <v>1991</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161.4</v>
      </c>
    </row>
    <row r="97" spans="2:14" ht="15" customHeight="1">
      <c r="E97" s="1118" t="s">
        <v>1960</v>
      </c>
      <c r="F97" s="1046"/>
      <c r="G97" s="1123">
        <f>G94*G95*G96</f>
        <v>4519200</v>
      </c>
      <c r="L97" s="1127" t="str">
        <f>'Points System'!H638</f>
        <v>(i)</v>
      </c>
      <c r="M97" s="2654" t="s">
        <v>1403</v>
      </c>
      <c r="N97" s="2655"/>
    </row>
    <row r="98" spans="2:14" ht="15" customHeight="1">
      <c r="C98" s="1077"/>
      <c r="G98" s="1114"/>
      <c r="L98" s="1128" t="str">
        <f>'Points System'!H650</f>
        <v>N/A</v>
      </c>
      <c r="M98" s="2650" t="s">
        <v>1955</v>
      </c>
      <c r="N98" s="2651"/>
    </row>
    <row r="99" spans="2:14" ht="15" customHeight="1">
      <c r="E99" s="1084" t="s">
        <v>1996</v>
      </c>
      <c r="G99" s="1126">
        <f>COUNTIFS(L97:L104,"(i)")</f>
        <v>2</v>
      </c>
      <c r="L99" s="1128" t="str">
        <f>'Points System'!H685</f>
        <v>(ii)</v>
      </c>
      <c r="M99" s="2650" t="s">
        <v>1956</v>
      </c>
      <c r="N99" s="2651"/>
    </row>
    <row r="100" spans="2:14" ht="15" customHeight="1">
      <c r="E100" s="1084" t="s">
        <v>1943</v>
      </c>
      <c r="F100" s="1113" t="s">
        <v>1991</v>
      </c>
      <c r="G100" s="1124">
        <v>4000</v>
      </c>
      <c r="L100" s="1128" t="str">
        <f>IF(OR('Points System'!H709="(ii)",'Points System'!H709="(i)"),"(i)","N/A")</f>
        <v>(i)</v>
      </c>
      <c r="M100" s="2650" t="s">
        <v>1957</v>
      </c>
      <c r="N100" s="2651"/>
    </row>
    <row r="101" spans="2:14" ht="15" customHeight="1">
      <c r="E101" s="1118" t="s">
        <v>1961</v>
      </c>
      <c r="F101" s="1046"/>
      <c r="G101" s="1123">
        <f>G96*G99*G100</f>
        <v>1291200</v>
      </c>
      <c r="L101" s="1129" t="str">
        <f>'Points System'!H723</f>
        <v>N/A</v>
      </c>
      <c r="M101" s="2650" t="s">
        <v>1429</v>
      </c>
      <c r="N101" s="2651"/>
    </row>
    <row r="102" spans="2:14" ht="15" customHeight="1">
      <c r="L102" s="1128" t="str">
        <f>'Points System'!H735</f>
        <v>N/A</v>
      </c>
      <c r="M102" s="2650" t="s">
        <v>1958</v>
      </c>
      <c r="N102" s="2651"/>
    </row>
    <row r="103" spans="2:14" ht="15" customHeight="1">
      <c r="C103" s="1080" t="s">
        <v>1963</v>
      </c>
      <c r="L103" s="1128" t="str">
        <f>'Points System'!H751</f>
        <v>(ii)</v>
      </c>
      <c r="M103" s="2650" t="s">
        <v>1959</v>
      </c>
      <c r="N103" s="2651"/>
    </row>
    <row r="104" spans="2:14" ht="15" customHeight="1" thickBot="1">
      <c r="C104" s="1077" t="s">
        <v>1964</v>
      </c>
      <c r="G104" s="1043"/>
      <c r="L104" s="1130" t="str">
        <f>'Points System'!H763</f>
        <v>(ii)</v>
      </c>
      <c r="M104" s="2652" t="s">
        <v>1432</v>
      </c>
      <c r="N104" s="2653"/>
    </row>
    <row r="105" spans="2:14" ht="15" customHeight="1">
      <c r="C105" s="1077" t="s">
        <v>1965</v>
      </c>
      <c r="G105" s="1043"/>
    </row>
    <row r="106" spans="2:14" ht="15" customHeight="1">
      <c r="C106" s="1077" t="s">
        <v>2138</v>
      </c>
      <c r="G106" s="1043" t="s">
        <v>544</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161.4</v>
      </c>
    </row>
    <row r="112" spans="2:14" ht="15" customHeight="1">
      <c r="E112" s="1084" t="s">
        <v>1943</v>
      </c>
      <c r="F112" s="1113" t="s">
        <v>1991</v>
      </c>
      <c r="G112" s="1124">
        <v>25000</v>
      </c>
    </row>
    <row r="113" spans="2:9" ht="15" customHeight="1">
      <c r="E113" s="1118" t="s">
        <v>1962</v>
      </c>
      <c r="F113" s="1046"/>
      <c r="G113" s="1123">
        <f>G109*G112*G96</f>
        <v>4035000</v>
      </c>
    </row>
    <row r="114" spans="2:9" ht="15" customHeight="1">
      <c r="C114" s="1077"/>
      <c r="E114" s="1077"/>
    </row>
    <row r="115" spans="2:9" ht="15" customHeight="1">
      <c r="E115" s="1118" t="s">
        <v>2271</v>
      </c>
      <c r="G115" s="1123">
        <f>G113+G101+G97</f>
        <v>9845400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2226</v>
      </c>
      <c r="D119" s="2685"/>
      <c r="E119" s="2685"/>
      <c r="F119" s="2685"/>
    </row>
    <row r="120" spans="2:9" ht="15" customHeight="1">
      <c r="C120" s="2685"/>
      <c r="D120" s="2685"/>
      <c r="E120" s="2685"/>
      <c r="F120" s="2685"/>
      <c r="G120" s="1043"/>
    </row>
    <row r="121" spans="2:9" ht="15" customHeight="1"/>
    <row r="122" spans="2:9" ht="15" customHeight="1">
      <c r="C122" s="1044" t="s">
        <v>2228</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ht="15">
      <c r="D132" s="1046"/>
      <c r="E132" s="1118" t="s">
        <v>2001</v>
      </c>
      <c r="F132" s="1134"/>
      <c r="G132" s="1135">
        <f>((G130-G131)/G131)*0.25</f>
        <v>6.0866013071895424E-2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2" t="s">
        <v>2274</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4170000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909</v>
      </c>
      <c r="B3" s="426" t="s">
        <v>2253</v>
      </c>
      <c r="C3" s="426" t="s">
        <v>2254</v>
      </c>
      <c r="D3" s="1146" t="s">
        <v>2255</v>
      </c>
      <c r="E3" s="204"/>
      <c r="F3" s="1146" t="s">
        <v>910</v>
      </c>
      <c r="G3" s="426" t="s">
        <v>911</v>
      </c>
      <c r="H3" s="427"/>
      <c r="I3" s="426" t="s">
        <v>912</v>
      </c>
      <c r="J3" s="426" t="s">
        <v>913</v>
      </c>
      <c r="K3" s="204"/>
      <c r="L3" s="305"/>
    </row>
    <row r="4" spans="1:12">
      <c r="A4" s="428" t="str">
        <f>Application!B718</f>
        <v>SRO/Studio</v>
      </c>
      <c r="B4" s="1082">
        <f>Application!G718</f>
        <v>6</v>
      </c>
      <c r="C4" s="1162"/>
      <c r="D4" s="428">
        <f>Application!O718</f>
        <v>764</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7</v>
      </c>
      <c r="C5" s="1162"/>
      <c r="D5" s="428">
        <f>Application!O719</f>
        <v>809</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1377</v>
      </c>
      <c r="E6" s="429"/>
      <c r="F6" s="1083"/>
      <c r="G6" s="428">
        <f t="shared" si="2"/>
        <v>0</v>
      </c>
      <c r="H6" s="429"/>
      <c r="I6" s="428" t="str">
        <f t="shared" si="0"/>
        <v/>
      </c>
      <c r="J6" s="428" t="str">
        <f t="shared" si="1"/>
        <v/>
      </c>
      <c r="K6" s="204"/>
      <c r="L6" s="305"/>
    </row>
    <row r="7" spans="1:12">
      <c r="A7" s="428" t="str">
        <f>Application!B721</f>
        <v>1 Bedroom</v>
      </c>
      <c r="B7" s="1082">
        <f>Application!G721</f>
        <v>9</v>
      </c>
      <c r="C7" s="1162"/>
      <c r="D7" s="428">
        <f>Application!O721</f>
        <v>1661</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1647</v>
      </c>
      <c r="E8" s="429"/>
      <c r="F8" s="1083"/>
      <c r="G8" s="428">
        <f t="shared" si="2"/>
        <v>0</v>
      </c>
      <c r="H8" s="429"/>
      <c r="I8" s="428" t="str">
        <f t="shared" si="0"/>
        <v/>
      </c>
      <c r="J8" s="428" t="str">
        <f t="shared" si="1"/>
        <v/>
      </c>
      <c r="K8" s="204"/>
      <c r="L8" s="305"/>
    </row>
    <row r="9" spans="1:12">
      <c r="A9" s="428" t="str">
        <f>Application!B723</f>
        <v>2 Bedrooms</v>
      </c>
      <c r="B9" s="1082">
        <f>Application!G723</f>
        <v>40</v>
      </c>
      <c r="C9" s="1162"/>
      <c r="D9" s="428">
        <f>Application!O723</f>
        <v>1987.6</v>
      </c>
      <c r="E9" s="429"/>
      <c r="F9" s="1083"/>
      <c r="G9" s="428">
        <f t="shared" si="2"/>
        <v>0</v>
      </c>
      <c r="H9" s="429"/>
      <c r="I9" s="428" t="str">
        <f t="shared" si="0"/>
        <v/>
      </c>
      <c r="J9" s="428" t="str">
        <f t="shared" si="1"/>
        <v/>
      </c>
      <c r="K9" s="204"/>
      <c r="L9" s="305"/>
    </row>
    <row r="10" spans="1:12">
      <c r="A10" s="428" t="str">
        <f>Application!B724</f>
        <v>2 Bedrooms</v>
      </c>
      <c r="B10" s="1082">
        <f>Application!G724</f>
        <v>19</v>
      </c>
      <c r="C10" s="1162"/>
      <c r="D10" s="428">
        <f>Application!O724</f>
        <v>2329</v>
      </c>
      <c r="E10" s="429"/>
      <c r="F10" s="1083"/>
      <c r="G10" s="428">
        <f t="shared" si="2"/>
        <v>0</v>
      </c>
      <c r="H10" s="429"/>
      <c r="I10" s="428" t="str">
        <f t="shared" si="0"/>
        <v/>
      </c>
      <c r="J10" s="428" t="str">
        <f t="shared" si="1"/>
        <v/>
      </c>
      <c r="K10" s="204"/>
      <c r="L10" s="305"/>
    </row>
    <row r="11" spans="1:12">
      <c r="A11" s="428" t="str">
        <f>Application!B725</f>
        <v>3 Bedrooms</v>
      </c>
      <c r="B11" s="1082">
        <f>Application!G725</f>
        <v>4</v>
      </c>
      <c r="C11" s="1162"/>
      <c r="D11" s="428">
        <f>Application!O725</f>
        <v>1901</v>
      </c>
      <c r="E11" s="429"/>
      <c r="F11" s="1083"/>
      <c r="G11" s="428">
        <f t="shared" si="2"/>
        <v>0</v>
      </c>
      <c r="H11" s="429"/>
      <c r="I11" s="428" t="str">
        <f t="shared" si="0"/>
        <v/>
      </c>
      <c r="J11" s="428" t="str">
        <f t="shared" si="1"/>
        <v/>
      </c>
      <c r="K11" s="204"/>
      <c r="L11" s="305"/>
    </row>
    <row r="12" spans="1:12">
      <c r="A12" s="428" t="str">
        <f>Application!B726</f>
        <v>3 Bedrooms</v>
      </c>
      <c r="B12" s="1082">
        <f>Application!G726</f>
        <v>33</v>
      </c>
      <c r="C12" s="1162"/>
      <c r="D12" s="428">
        <f>Application!O726</f>
        <v>2688.6</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259561.8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K66" sqref="K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3154941.5999999996</v>
      </c>
      <c r="G4" s="219">
        <f>E4*$C$4</f>
        <v>3233815.1399999992</v>
      </c>
      <c r="I4" s="219">
        <f>G4*$C$4</f>
        <v>3314660.5184999988</v>
      </c>
      <c r="K4" s="219">
        <f>I4*$C$4</f>
        <v>3397527.0314624985</v>
      </c>
      <c r="M4" s="219">
        <f>K4*$C$4</f>
        <v>3482465.2072490607</v>
      </c>
      <c r="O4" s="219">
        <f>M4*$C$4</f>
        <v>3569526.8374302872</v>
      </c>
      <c r="Q4" s="219">
        <f>O4*$C$4</f>
        <v>3658765.0083660441</v>
      </c>
      <c r="S4" s="219">
        <f>Q4*$C$4</f>
        <v>3750234.133575195</v>
      </c>
      <c r="U4" s="219">
        <f>S4*$C$4</f>
        <v>3843989.9869145746</v>
      </c>
      <c r="W4" s="219">
        <f>U4*$C$4</f>
        <v>3940089.7365874387</v>
      </c>
      <c r="Y4" s="219">
        <f>W4*$C$4</f>
        <v>4038591.9800021243</v>
      </c>
      <c r="AA4" s="219">
        <f>Y4*$C$4</f>
        <v>4139556.7795021771</v>
      </c>
      <c r="AC4" s="219">
        <f>AA4*$C$4</f>
        <v>4243045.6989897313</v>
      </c>
      <c r="AE4" s="219">
        <f>AC4*$C$4</f>
        <v>4349121.8414644739</v>
      </c>
      <c r="AG4" s="219">
        <f>AE4*$C$4</f>
        <v>4457849.8875010852</v>
      </c>
    </row>
    <row r="5" spans="1:34" s="210" customFormat="1" ht="14.25">
      <c r="B5" s="210" t="s">
        <v>837</v>
      </c>
      <c r="C5" s="238">
        <f>IF(Application!$D$211="Special Needs",(((0.1*Application!$T$212)+(0.05*(1-Application!$T$212)))),0.05)</f>
        <v>0.05</v>
      </c>
      <c r="E5" s="221">
        <f>-E4*$C$5</f>
        <v>-157747.07999999999</v>
      </c>
      <c r="F5" s="221"/>
      <c r="G5" s="221">
        <f>-G4*$C$5</f>
        <v>-161690.75699999998</v>
      </c>
      <c r="H5" s="221"/>
      <c r="I5" s="221">
        <f>-I4*$C$5</f>
        <v>-165733.02592499997</v>
      </c>
      <c r="J5" s="221"/>
      <c r="K5" s="221">
        <f>-K4*$C$5</f>
        <v>-169876.35157312494</v>
      </c>
      <c r="L5" s="221"/>
      <c r="M5" s="221">
        <f>-M4*$C$5</f>
        <v>-174123.26036245306</v>
      </c>
      <c r="N5" s="221"/>
      <c r="O5" s="221">
        <f>-O4*$C$5</f>
        <v>-178476.34187151436</v>
      </c>
      <c r="P5" s="221"/>
      <c r="Q5" s="221">
        <f>-Q4*$C$5</f>
        <v>-182938.25041830222</v>
      </c>
      <c r="R5" s="221"/>
      <c r="S5" s="221">
        <f>-S4*$C$5</f>
        <v>-187511.70667875977</v>
      </c>
      <c r="T5" s="221"/>
      <c r="U5" s="221">
        <f>-U4*$C$5</f>
        <v>-192199.49934572875</v>
      </c>
      <c r="V5" s="221"/>
      <c r="W5" s="221">
        <f>-W4*$C$5</f>
        <v>-197004.48682937195</v>
      </c>
      <c r="X5" s="221"/>
      <c r="Y5" s="221">
        <f>-Y4*$C$5</f>
        <v>-201929.59900010622</v>
      </c>
      <c r="Z5" s="221"/>
      <c r="AA5" s="221">
        <f>-AA4*$C$5</f>
        <v>-206977.83897510887</v>
      </c>
      <c r="AB5" s="221"/>
      <c r="AC5" s="221">
        <f>-AC4*$C$5</f>
        <v>-212152.28494948658</v>
      </c>
      <c r="AD5" s="221"/>
      <c r="AE5" s="221">
        <f>-AE4*$C$5</f>
        <v>-217456.0920732237</v>
      </c>
      <c r="AF5" s="221"/>
      <c r="AG5" s="221">
        <f>-AG4*$C$5</f>
        <v>-222892.49437505426</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169790.12684210541</v>
      </c>
      <c r="F8" s="222"/>
      <c r="G8" s="222">
        <f>E8*$C$8</f>
        <v>174034.88001315802</v>
      </c>
      <c r="H8" s="222"/>
      <c r="I8" s="222">
        <f>G8*$C$8</f>
        <v>178385.75201348696</v>
      </c>
      <c r="J8" s="222"/>
      <c r="K8" s="222">
        <f>I8*$C$8</f>
        <v>182845.39581382411</v>
      </c>
      <c r="L8" s="222"/>
      <c r="M8" s="222">
        <f>K8*$C$8</f>
        <v>187416.53070916969</v>
      </c>
      <c r="N8" s="222"/>
      <c r="O8" s="222">
        <f>M8*$C$8</f>
        <v>192101.94397689891</v>
      </c>
      <c r="P8" s="222"/>
      <c r="Q8" s="222">
        <f>O8*$C$8</f>
        <v>196904.49257632135</v>
      </c>
      <c r="R8" s="222"/>
      <c r="S8" s="222">
        <f>Q8*$C$8</f>
        <v>201827.10489072936</v>
      </c>
      <c r="T8" s="222"/>
      <c r="U8" s="222">
        <f>S8*$C$8</f>
        <v>206872.78251299757</v>
      </c>
      <c r="V8" s="222"/>
      <c r="W8" s="222">
        <f>U8*$C$8</f>
        <v>212044.60207582248</v>
      </c>
      <c r="X8" s="222"/>
      <c r="Y8" s="222">
        <f>W8*$C$8</f>
        <v>217345.71712771803</v>
      </c>
      <c r="Z8" s="222"/>
      <c r="AA8" s="222">
        <f>Y8*$C$8</f>
        <v>222779.36005591098</v>
      </c>
      <c r="AB8" s="222"/>
      <c r="AC8" s="222">
        <f>AA8*$C$8</f>
        <v>228348.84405730874</v>
      </c>
      <c r="AD8" s="222"/>
      <c r="AE8" s="222">
        <f>AC8*$C$8</f>
        <v>234057.56515874143</v>
      </c>
      <c r="AF8" s="222"/>
      <c r="AG8" s="222">
        <f>AE8*$C$8</f>
        <v>239909.00428770995</v>
      </c>
    </row>
    <row r="9" spans="1:34" s="210" customFormat="1" ht="14.25">
      <c r="B9" s="210" t="s">
        <v>837</v>
      </c>
      <c r="C9" s="238">
        <f>IF(Application!$D$211="Special Needs",(((0.1*Application!$T$212)+(0.05*(1-Application!$T$212)))),0.05)</f>
        <v>0.05</v>
      </c>
      <c r="E9" s="221">
        <f>-E8*$C$9</f>
        <v>-8489.506342105271</v>
      </c>
      <c r="F9" s="221"/>
      <c r="G9" s="221">
        <f>-G8*$C$9</f>
        <v>-8701.7440006579018</v>
      </c>
      <c r="H9" s="221"/>
      <c r="I9" s="221">
        <f>-I8*$C$9</f>
        <v>-8919.2876006743481</v>
      </c>
      <c r="J9" s="221"/>
      <c r="K9" s="221">
        <f>-K8*$C$9</f>
        <v>-9142.2697906912053</v>
      </c>
      <c r="L9" s="221"/>
      <c r="M9" s="221">
        <f>-M8*$C$9</f>
        <v>-9370.8265354584855</v>
      </c>
      <c r="N9" s="221"/>
      <c r="O9" s="221">
        <f>-O8*$C$9</f>
        <v>-9605.0971988449455</v>
      </c>
      <c r="P9" s="221"/>
      <c r="Q9" s="221">
        <f>-Q8*$C$9</f>
        <v>-9845.2246288160677</v>
      </c>
      <c r="R9" s="221"/>
      <c r="S9" s="221">
        <f>-S8*$C$9</f>
        <v>-10091.355244536469</v>
      </c>
      <c r="T9" s="221"/>
      <c r="U9" s="221">
        <f>-U8*$C$9</f>
        <v>-10343.639125649879</v>
      </c>
      <c r="V9" s="221"/>
      <c r="W9" s="221">
        <f>-W8*$C$9</f>
        <v>-10602.230103791124</v>
      </c>
      <c r="X9" s="221"/>
      <c r="Y9" s="221">
        <f>-Y8*$C$9</f>
        <v>-10867.285856385903</v>
      </c>
      <c r="Z9" s="221"/>
      <c r="AA9" s="221">
        <f>-AA8*$C$9</f>
        <v>-11138.968002795549</v>
      </c>
      <c r="AB9" s="221"/>
      <c r="AC9" s="221">
        <f>-AC8*$C$9</f>
        <v>-11417.442202865437</v>
      </c>
      <c r="AD9" s="221"/>
      <c r="AE9" s="221">
        <f>-AE8*$C$9</f>
        <v>-11702.878257937073</v>
      </c>
      <c r="AF9" s="221"/>
      <c r="AG9" s="221">
        <f>-AG8*$C$9</f>
        <v>-11995.450214385499</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3158495.1404999997</v>
      </c>
      <c r="G11" s="223">
        <f>SUM(G4:G10)</f>
        <v>3237457.5190124996</v>
      </c>
      <c r="I11" s="223">
        <f>SUM(I4:I10)</f>
        <v>3318393.9569878117</v>
      </c>
      <c r="K11" s="223">
        <f>SUM(K4:K10)</f>
        <v>3401353.8059125063</v>
      </c>
      <c r="M11" s="223">
        <f>SUM(M4:M10)</f>
        <v>3486387.6510603186</v>
      </c>
      <c r="O11" s="223">
        <f>SUM(O4:O10)</f>
        <v>3573547.342336827</v>
      </c>
      <c r="Q11" s="223">
        <f>SUM(Q4:Q10)</f>
        <v>3662886.0258952477</v>
      </c>
      <c r="S11" s="223">
        <f>SUM(S4:S10)</f>
        <v>3754458.1765426281</v>
      </c>
      <c r="U11" s="223">
        <f>SUM(U4:U10)</f>
        <v>3848319.6309561939</v>
      </c>
      <c r="W11" s="223">
        <f>SUM(W4:W10)</f>
        <v>3944527.621730098</v>
      </c>
      <c r="Y11" s="223">
        <f>SUM(Y4:Y10)</f>
        <v>4043140.8122733505</v>
      </c>
      <c r="AA11" s="223">
        <f>SUM(AA4:AA10)</f>
        <v>4144219.3325801836</v>
      </c>
      <c r="AC11" s="223">
        <f>SUM(AC4:AC10)</f>
        <v>4247824.8158946885</v>
      </c>
      <c r="AE11" s="223">
        <f>SUM(AE4:AE10)</f>
        <v>4354020.4362920551</v>
      </c>
      <c r="AG11" s="223">
        <f>SUM(AG4:AG10)</f>
        <v>4462870.9471993567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116599.59793847069</v>
      </c>
      <c r="G15" s="219">
        <f>E15*$C$14</f>
        <v>120680.58386631716</v>
      </c>
      <c r="I15" s="219">
        <f>G15*$C$14</f>
        <v>124904.40430163825</v>
      </c>
      <c r="K15" s="219">
        <f>I15*$C$14</f>
        <v>129276.05845219558</v>
      </c>
      <c r="M15" s="219">
        <f>K15*$C$14</f>
        <v>133800.72049802242</v>
      </c>
      <c r="O15" s="219">
        <f>M15*$C$14</f>
        <v>138483.7457154532</v>
      </c>
      <c r="Q15" s="219">
        <f>O15*$C$14</f>
        <v>143330.67681549405</v>
      </c>
      <c r="S15" s="219">
        <f>Q15*$C$14</f>
        <v>148347.25050403632</v>
      </c>
      <c r="U15" s="219">
        <f>S15*$C$14</f>
        <v>153539.40427167757</v>
      </c>
      <c r="W15" s="219">
        <f>U15*$C$14</f>
        <v>158913.28342118626</v>
      </c>
      <c r="Y15" s="219">
        <f>W15*$C$14</f>
        <v>164475.24834092776</v>
      </c>
      <c r="AA15" s="219">
        <f>Y15*$C$14</f>
        <v>170231.88203286022</v>
      </c>
      <c r="AC15" s="219">
        <f>AA15*$C$14</f>
        <v>176189.99790401032</v>
      </c>
      <c r="AE15" s="219">
        <f>AC15*$C$14</f>
        <v>182356.64783065068</v>
      </c>
      <c r="AG15" s="219">
        <f>AE15*$C$14</f>
        <v>188739.13050472343</v>
      </c>
    </row>
    <row r="16" spans="1:34" s="210" customFormat="1" ht="14.25">
      <c r="A16" s="210" t="s">
        <v>343</v>
      </c>
      <c r="C16" s="233"/>
      <c r="E16" s="222">
        <f>Application!W849</f>
        <v>103494.8082</v>
      </c>
      <c r="F16" s="222"/>
      <c r="G16" s="222">
        <f t="shared" ref="G16:AG21" si="0">E16*$C$14</f>
        <v>107117.12648699999</v>
      </c>
      <c r="H16" s="222"/>
      <c r="I16" s="222">
        <f t="shared" si="0"/>
        <v>110866.22591404498</v>
      </c>
      <c r="J16" s="222"/>
      <c r="K16" s="222">
        <f t="shared" si="0"/>
        <v>114746.54382103654</v>
      </c>
      <c r="L16" s="222"/>
      <c r="M16" s="222">
        <f t="shared" si="0"/>
        <v>118762.67285477281</v>
      </c>
      <c r="N16" s="222"/>
      <c r="O16" s="222">
        <f t="shared" si="0"/>
        <v>122919.36640468985</v>
      </c>
      <c r="P16" s="222"/>
      <c r="Q16" s="222">
        <f t="shared" si="0"/>
        <v>127221.54422885398</v>
      </c>
      <c r="R16" s="222"/>
      <c r="S16" s="222">
        <f t="shared" si="0"/>
        <v>131674.29827686385</v>
      </c>
      <c r="T16" s="222"/>
      <c r="U16" s="222">
        <f t="shared" si="0"/>
        <v>136282.89871655407</v>
      </c>
      <c r="V16" s="222"/>
      <c r="W16" s="222">
        <f t="shared" si="0"/>
        <v>141052.80017163345</v>
      </c>
      <c r="X16" s="222"/>
      <c r="Y16" s="222">
        <f t="shared" si="0"/>
        <v>145989.6481776406</v>
      </c>
      <c r="Z16" s="222"/>
      <c r="AA16" s="222">
        <f t="shared" si="0"/>
        <v>151099.28586385801</v>
      </c>
      <c r="AB16" s="222"/>
      <c r="AC16" s="222">
        <f t="shared" si="0"/>
        <v>156387.76086909304</v>
      </c>
      <c r="AD16" s="222"/>
      <c r="AE16" s="222">
        <f t="shared" si="0"/>
        <v>161861.33249951128</v>
      </c>
      <c r="AF16" s="222"/>
      <c r="AG16" s="222">
        <f t="shared" si="0"/>
        <v>167526.47913699417</v>
      </c>
    </row>
    <row r="17" spans="1:33" s="210" customFormat="1" ht="14.25">
      <c r="A17" s="210" t="s">
        <v>560</v>
      </c>
      <c r="C17" s="233"/>
      <c r="E17" s="222">
        <f>Application!W855</f>
        <v>111360</v>
      </c>
      <c r="F17" s="222"/>
      <c r="G17" s="222">
        <f t="shared" si="0"/>
        <v>115257.59999999999</v>
      </c>
      <c r="H17" s="222"/>
      <c r="I17" s="222">
        <f t="shared" si="0"/>
        <v>119291.61599999998</v>
      </c>
      <c r="J17" s="222"/>
      <c r="K17" s="222">
        <f t="shared" si="0"/>
        <v>123466.82255999997</v>
      </c>
      <c r="L17" s="222"/>
      <c r="M17" s="222">
        <f t="shared" si="0"/>
        <v>127788.16134959996</v>
      </c>
      <c r="N17" s="222"/>
      <c r="O17" s="222">
        <f t="shared" si="0"/>
        <v>132260.74699683595</v>
      </c>
      <c r="P17" s="222"/>
      <c r="Q17" s="222">
        <f t="shared" si="0"/>
        <v>136889.8731417252</v>
      </c>
      <c r="R17" s="222"/>
      <c r="S17" s="222">
        <f t="shared" si="0"/>
        <v>141681.01870168556</v>
      </c>
      <c r="T17" s="222"/>
      <c r="U17" s="222">
        <f t="shared" si="0"/>
        <v>146639.85435624456</v>
      </c>
      <c r="V17" s="222"/>
      <c r="W17" s="222">
        <f t="shared" si="0"/>
        <v>151772.2492587131</v>
      </c>
      <c r="X17" s="222"/>
      <c r="Y17" s="222">
        <f t="shared" si="0"/>
        <v>157084.27798276805</v>
      </c>
      <c r="Z17" s="222"/>
      <c r="AA17" s="222">
        <f t="shared" si="0"/>
        <v>162582.22771216492</v>
      </c>
      <c r="AB17" s="222"/>
      <c r="AC17" s="222">
        <f t="shared" si="0"/>
        <v>168272.60568209068</v>
      </c>
      <c r="AD17" s="222"/>
      <c r="AE17" s="222">
        <f t="shared" si="0"/>
        <v>174162.14688096385</v>
      </c>
      <c r="AF17" s="222"/>
      <c r="AG17" s="222">
        <f t="shared" si="0"/>
        <v>180257.82202179756</v>
      </c>
    </row>
    <row r="18" spans="1:33" s="210" customFormat="1" ht="14.25">
      <c r="A18" s="210" t="s">
        <v>841</v>
      </c>
      <c r="C18" s="233"/>
      <c r="E18" s="222">
        <f>Application!W862</f>
        <v>287603.52999999997</v>
      </c>
      <c r="F18" s="222"/>
      <c r="G18" s="222">
        <f t="shared" si="0"/>
        <v>297669.65354999993</v>
      </c>
      <c r="H18" s="222"/>
      <c r="I18" s="222">
        <f t="shared" si="0"/>
        <v>308088.09142424993</v>
      </c>
      <c r="J18" s="222"/>
      <c r="K18" s="222">
        <f t="shared" si="0"/>
        <v>318871.17462409864</v>
      </c>
      <c r="L18" s="222"/>
      <c r="M18" s="222">
        <f t="shared" si="0"/>
        <v>330031.66573594208</v>
      </c>
      <c r="N18" s="222"/>
      <c r="O18" s="222">
        <f t="shared" si="0"/>
        <v>341582.77403670002</v>
      </c>
      <c r="P18" s="222"/>
      <c r="Q18" s="222">
        <f t="shared" si="0"/>
        <v>353538.17112798447</v>
      </c>
      <c r="R18" s="222"/>
      <c r="S18" s="222">
        <f t="shared" si="0"/>
        <v>365912.00711746392</v>
      </c>
      <c r="T18" s="222"/>
      <c r="U18" s="222">
        <f t="shared" si="0"/>
        <v>378718.92736657511</v>
      </c>
      <c r="V18" s="222"/>
      <c r="W18" s="222">
        <f t="shared" si="0"/>
        <v>391974.08982440521</v>
      </c>
      <c r="X18" s="222"/>
      <c r="Y18" s="222">
        <f t="shared" si="0"/>
        <v>405693.18296825938</v>
      </c>
      <c r="Z18" s="222"/>
      <c r="AA18" s="222">
        <f t="shared" si="0"/>
        <v>419892.44437214843</v>
      </c>
      <c r="AB18" s="222"/>
      <c r="AC18" s="222">
        <f t="shared" si="0"/>
        <v>434588.67992517358</v>
      </c>
      <c r="AD18" s="222"/>
      <c r="AE18" s="222">
        <f t="shared" si="0"/>
        <v>449799.28372255462</v>
      </c>
      <c r="AF18" s="222"/>
      <c r="AG18" s="222">
        <f t="shared" si="0"/>
        <v>465542.258652844</v>
      </c>
    </row>
    <row r="19" spans="1:33" s="210" customFormat="1" ht="14.25">
      <c r="A19" s="210" t="s">
        <v>155</v>
      </c>
      <c r="C19" s="233"/>
      <c r="E19" s="222">
        <f>Application!W863</f>
        <v>121600</v>
      </c>
      <c r="F19" s="222"/>
      <c r="G19" s="222">
        <f t="shared" si="0"/>
        <v>125855.99999999999</v>
      </c>
      <c r="H19" s="222"/>
      <c r="I19" s="222">
        <f t="shared" si="0"/>
        <v>130260.95999999998</v>
      </c>
      <c r="J19" s="222"/>
      <c r="K19" s="222">
        <f t="shared" si="0"/>
        <v>134820.09359999996</v>
      </c>
      <c r="L19" s="222"/>
      <c r="M19" s="222">
        <f t="shared" si="0"/>
        <v>139538.79687599995</v>
      </c>
      <c r="N19" s="222"/>
      <c r="O19" s="222">
        <f t="shared" si="0"/>
        <v>144422.65476665995</v>
      </c>
      <c r="P19" s="222"/>
      <c r="Q19" s="222">
        <f t="shared" si="0"/>
        <v>149477.44768349302</v>
      </c>
      <c r="R19" s="222"/>
      <c r="S19" s="222">
        <f t="shared" si="0"/>
        <v>154709.15835241528</v>
      </c>
      <c r="T19" s="222"/>
      <c r="U19" s="222">
        <f t="shared" si="0"/>
        <v>160123.9788947498</v>
      </c>
      <c r="V19" s="222"/>
      <c r="W19" s="222">
        <f t="shared" si="0"/>
        <v>165728.31815606603</v>
      </c>
      <c r="X19" s="222"/>
      <c r="Y19" s="222">
        <f t="shared" si="0"/>
        <v>171528.80929152833</v>
      </c>
      <c r="Z19" s="222"/>
      <c r="AA19" s="222">
        <f t="shared" si="0"/>
        <v>177532.3176167318</v>
      </c>
      <c r="AB19" s="222"/>
      <c r="AC19" s="222">
        <f t="shared" si="0"/>
        <v>183745.9487333174</v>
      </c>
      <c r="AD19" s="222"/>
      <c r="AE19" s="222">
        <f t="shared" si="0"/>
        <v>190177.0569389835</v>
      </c>
      <c r="AF19" s="222"/>
      <c r="AG19" s="222">
        <f t="shared" si="0"/>
        <v>196833.2539318479</v>
      </c>
    </row>
    <row r="20" spans="1:33" s="210" customFormat="1" ht="14.25">
      <c r="A20" s="210" t="s">
        <v>389</v>
      </c>
      <c r="C20" s="233"/>
      <c r="E20" s="222">
        <f>Application!W872</f>
        <v>125440</v>
      </c>
      <c r="F20" s="222"/>
      <c r="G20" s="222">
        <f t="shared" si="0"/>
        <v>129830.39999999999</v>
      </c>
      <c r="H20" s="222"/>
      <c r="I20" s="222">
        <f t="shared" si="0"/>
        <v>134374.46399999998</v>
      </c>
      <c r="J20" s="222"/>
      <c r="K20" s="222">
        <f t="shared" si="0"/>
        <v>139077.57023999997</v>
      </c>
      <c r="L20" s="222"/>
      <c r="M20" s="222">
        <f t="shared" si="0"/>
        <v>143945.28519839997</v>
      </c>
      <c r="N20" s="222"/>
      <c r="O20" s="222">
        <f t="shared" si="0"/>
        <v>148983.37018034395</v>
      </c>
      <c r="P20" s="222"/>
      <c r="Q20" s="222">
        <f t="shared" si="0"/>
        <v>154197.78813665596</v>
      </c>
      <c r="R20" s="222"/>
      <c r="S20" s="222">
        <f t="shared" si="0"/>
        <v>159594.7107214389</v>
      </c>
      <c r="T20" s="222"/>
      <c r="U20" s="222">
        <f t="shared" si="0"/>
        <v>165180.52559668926</v>
      </c>
      <c r="V20" s="222"/>
      <c r="W20" s="222">
        <f t="shared" si="0"/>
        <v>170961.84399257335</v>
      </c>
      <c r="X20" s="222"/>
      <c r="Y20" s="222">
        <f t="shared" si="0"/>
        <v>176945.5085323134</v>
      </c>
      <c r="Z20" s="222"/>
      <c r="AA20" s="222">
        <f t="shared" si="0"/>
        <v>183138.60133094437</v>
      </c>
      <c r="AB20" s="222"/>
      <c r="AC20" s="222">
        <f t="shared" si="0"/>
        <v>189548.4523775274</v>
      </c>
      <c r="AD20" s="222"/>
      <c r="AE20" s="222">
        <f t="shared" si="0"/>
        <v>196182.64821074085</v>
      </c>
      <c r="AF20" s="222"/>
      <c r="AG20" s="222">
        <f t="shared" si="0"/>
        <v>203049.04089811677</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866097.93613847066</v>
      </c>
      <c r="G22" s="223">
        <f>SUM(G15:G21)</f>
        <v>896411.36390331702</v>
      </c>
      <c r="I22" s="223">
        <f>SUM(I15:I21)</f>
        <v>927785.7616399331</v>
      </c>
      <c r="K22" s="223">
        <f>SUM(K15:K21)</f>
        <v>960258.26329733082</v>
      </c>
      <c r="M22" s="223">
        <f>SUM(M15:M21)</f>
        <v>993867.30251273722</v>
      </c>
      <c r="O22" s="223">
        <f>SUM(O15:O21)</f>
        <v>1028652.658100683</v>
      </c>
      <c r="Q22" s="223">
        <f>SUM(Q15:Q21)</f>
        <v>1064655.5011342068</v>
      </c>
      <c r="S22" s="223">
        <f>SUM(S15:S21)</f>
        <v>1101918.4436739041</v>
      </c>
      <c r="U22" s="223">
        <f>SUM(U15:U21)</f>
        <v>1140485.5892024904</v>
      </c>
      <c r="W22" s="223">
        <f>SUM(W15:W21)</f>
        <v>1180402.5848245774</v>
      </c>
      <c r="Y22" s="223">
        <f>SUM(Y15:Y21)</f>
        <v>1221716.6752934374</v>
      </c>
      <c r="AA22" s="223">
        <f>SUM(AA15:AA21)</f>
        <v>1264476.7589287078</v>
      </c>
      <c r="AC22" s="223">
        <f>SUM(AC15:AC21)</f>
        <v>1308733.4454912124</v>
      </c>
      <c r="AE22" s="223">
        <f>SUM(AE15:AE21)</f>
        <v>1354539.1160834047</v>
      </c>
      <c r="AG22" s="223">
        <f>SUM(AG15:AG21)</f>
        <v>1401947.9851463239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v>364915.90799999994</v>
      </c>
      <c r="F24" s="222"/>
      <c r="G24" s="222">
        <v>374038.80569999991</v>
      </c>
      <c r="H24" s="222"/>
      <c r="I24" s="222">
        <v>383389.77584249986</v>
      </c>
      <c r="J24" s="222"/>
      <c r="K24" s="222">
        <v>392974.52023856231</v>
      </c>
      <c r="L24" s="222"/>
      <c r="M24" s="222">
        <v>402798.88324452634</v>
      </c>
      <c r="N24" s="222"/>
      <c r="O24" s="222">
        <v>412868.85532563948</v>
      </c>
      <c r="P24" s="222"/>
      <c r="Q24" s="222">
        <v>423190.57670878043</v>
      </c>
      <c r="R24" s="222"/>
      <c r="S24" s="222">
        <v>433770.34112649987</v>
      </c>
      <c r="T24" s="222"/>
      <c r="U24" s="222">
        <v>444614.59965466231</v>
      </c>
      <c r="V24" s="222"/>
      <c r="W24" s="222">
        <v>455729.96464602882</v>
      </c>
      <c r="X24" s="222"/>
      <c r="Y24" s="222">
        <v>467123.21376217948</v>
      </c>
      <c r="Z24" s="222"/>
      <c r="AA24" s="222">
        <v>478801.29410623392</v>
      </c>
      <c r="AB24" s="222"/>
      <c r="AC24" s="222">
        <v>490771.3264588897</v>
      </c>
      <c r="AD24" s="222"/>
      <c r="AE24" s="222">
        <v>503040.60962036188</v>
      </c>
      <c r="AF24" s="222"/>
      <c r="AG24" s="222">
        <v>515616.62486087088</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18000</v>
      </c>
      <c r="F27" s="222"/>
      <c r="G27" s="222">
        <f>E27*$C$27</f>
        <v>18630</v>
      </c>
      <c r="H27" s="222"/>
      <c r="I27" s="222">
        <f>G27*$C$27</f>
        <v>19282.05</v>
      </c>
      <c r="J27" s="222"/>
      <c r="K27" s="222">
        <f>I27*$C$27</f>
        <v>19956.921749999998</v>
      </c>
      <c r="L27" s="222"/>
      <c r="M27" s="222">
        <f>K27*$C$27</f>
        <v>20655.414011249995</v>
      </c>
      <c r="N27" s="222"/>
      <c r="O27" s="222">
        <f>M27*$C$27</f>
        <v>21378.353501643742</v>
      </c>
      <c r="P27" s="222"/>
      <c r="Q27" s="222">
        <f>O27*$C$27</f>
        <v>22126.59587420127</v>
      </c>
      <c r="R27" s="222"/>
      <c r="S27" s="222">
        <f>Q27*$C$27</f>
        <v>22901.026729798312</v>
      </c>
      <c r="T27" s="222"/>
      <c r="U27" s="222">
        <f>S27*$C$27</f>
        <v>23702.562665341251</v>
      </c>
      <c r="V27" s="222"/>
      <c r="W27" s="222">
        <f>U27*$C$27</f>
        <v>24532.152358628195</v>
      </c>
      <c r="X27" s="222"/>
      <c r="Y27" s="222">
        <f>W27*$C$27</f>
        <v>25390.777691180181</v>
      </c>
      <c r="Z27" s="222"/>
      <c r="AA27" s="222">
        <f>Y27*$C$27</f>
        <v>26279.454910371485</v>
      </c>
      <c r="AB27" s="222"/>
      <c r="AC27" s="222">
        <f>AA27*$C$27</f>
        <v>27199.235832234484</v>
      </c>
      <c r="AD27" s="222"/>
      <c r="AE27" s="222">
        <f>AC27*$C$27</f>
        <v>28151.209086362691</v>
      </c>
      <c r="AF27" s="222"/>
      <c r="AG27" s="222">
        <f>AE27*$C$27</f>
        <v>29136.501404385384</v>
      </c>
    </row>
    <row r="28" spans="1:33" s="210" customFormat="1" ht="14.25">
      <c r="A28" s="210" t="s">
        <v>845</v>
      </c>
      <c r="C28" s="237"/>
      <c r="E28" s="222">
        <f>Application!AC889</f>
        <v>32000</v>
      </c>
      <c r="F28" s="222"/>
      <c r="G28" s="222">
        <f>$E$28</f>
        <v>32000</v>
      </c>
      <c r="H28" s="222"/>
      <c r="I28" s="222">
        <f>$E$28</f>
        <v>32000</v>
      </c>
      <c r="J28" s="222"/>
      <c r="K28" s="222">
        <f>$E$28</f>
        <v>32000</v>
      </c>
      <c r="L28" s="222"/>
      <c r="M28" s="222">
        <f>$E$28</f>
        <v>32000</v>
      </c>
      <c r="N28" s="222"/>
      <c r="O28" s="222">
        <f>$E$28</f>
        <v>32000</v>
      </c>
      <c r="P28" s="222"/>
      <c r="Q28" s="222">
        <f>$E$28</f>
        <v>32000</v>
      </c>
      <c r="R28" s="222"/>
      <c r="S28" s="222">
        <f>$E$28</f>
        <v>32000</v>
      </c>
      <c r="T28" s="222"/>
      <c r="U28" s="222">
        <f>$E$28</f>
        <v>32000</v>
      </c>
      <c r="V28" s="222"/>
      <c r="W28" s="222">
        <f>$E$28</f>
        <v>32000</v>
      </c>
      <c r="X28" s="222"/>
      <c r="Y28" s="222">
        <f>$E$28</f>
        <v>32000</v>
      </c>
      <c r="Z28" s="222"/>
      <c r="AA28" s="222">
        <f>$E$28</f>
        <v>32000</v>
      </c>
      <c r="AB28" s="222"/>
      <c r="AC28" s="222">
        <f>$E$28</f>
        <v>32000</v>
      </c>
      <c r="AD28" s="222"/>
      <c r="AE28" s="222">
        <f>$E$28</f>
        <v>32000</v>
      </c>
      <c r="AF28" s="222"/>
      <c r="AG28" s="222">
        <f>$E$28</f>
        <v>32000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Owner-Hosted Broadband:</v>
      </c>
      <c r="C32" s="316">
        <v>1.0349999999999999</v>
      </c>
      <c r="E32" s="222">
        <f>Application!AC894</f>
        <v>33792</v>
      </c>
      <c r="F32" s="222"/>
      <c r="G32" s="222">
        <f>E32*$C$32</f>
        <v>34974.719999999994</v>
      </c>
      <c r="H32" s="222"/>
      <c r="I32" s="222">
        <f>G32*$C$32</f>
        <v>36198.835199999994</v>
      </c>
      <c r="J32" s="222"/>
      <c r="K32" s="222">
        <f>I32*$C$32</f>
        <v>37465.794431999988</v>
      </c>
      <c r="L32" s="222"/>
      <c r="M32" s="222">
        <f>K32*$C$32</f>
        <v>38777.097237119982</v>
      </c>
      <c r="N32" s="222"/>
      <c r="O32" s="222">
        <f>M32*$C$32</f>
        <v>40134.295640419179</v>
      </c>
      <c r="P32" s="222"/>
      <c r="Q32" s="222">
        <f>O32*$C$32</f>
        <v>41538.995987833849</v>
      </c>
      <c r="R32" s="222"/>
      <c r="S32" s="222">
        <f>Q32*$C$32</f>
        <v>42992.860847408032</v>
      </c>
      <c r="T32" s="222"/>
      <c r="U32" s="222">
        <f>S32*$C$32</f>
        <v>44497.610977067307</v>
      </c>
      <c r="V32" s="222"/>
      <c r="W32" s="222">
        <f>U32*$C$32</f>
        <v>46055.027361264656</v>
      </c>
      <c r="X32" s="222"/>
      <c r="Y32" s="222">
        <f>W32*$C$32</f>
        <v>47666.953318908912</v>
      </c>
      <c r="Z32" s="222"/>
      <c r="AA32" s="222">
        <f>Y32*$C$32</f>
        <v>49335.296685070723</v>
      </c>
      <c r="AB32" s="222"/>
      <c r="AC32" s="222">
        <f>AA32*$C$32</f>
        <v>51062.032069048197</v>
      </c>
      <c r="AD32" s="222"/>
      <c r="AE32" s="222">
        <f>AC32*$C$32</f>
        <v>52849.203191464876</v>
      </c>
      <c r="AF32" s="222"/>
      <c r="AG32" s="222">
        <f>AE32*$C$32</f>
        <v>54698.925303166143</v>
      </c>
    </row>
    <row r="33" spans="1:33" s="210" customFormat="1" ht="14.25">
      <c r="A33" s="210" t="str">
        <f>Application!C895</f>
        <v>Other: CMFA Issuer Fee &amp; City of LA Land Use Covenant Monitoring Fee:</v>
      </c>
      <c r="C33" s="316">
        <v>1</v>
      </c>
      <c r="E33" s="222">
        <f>Application!AC895</f>
        <v>34071</v>
      </c>
      <c r="F33" s="222"/>
      <c r="G33" s="222">
        <f>E33*$C$33</f>
        <v>34071</v>
      </c>
      <c r="H33" s="222"/>
      <c r="I33" s="222">
        <f>G33*$C$33</f>
        <v>34071</v>
      </c>
      <c r="J33" s="222"/>
      <c r="K33" s="222">
        <f>I33*$C$33</f>
        <v>34071</v>
      </c>
      <c r="L33" s="222"/>
      <c r="M33" s="222">
        <f>K33*$C$33</f>
        <v>34071</v>
      </c>
      <c r="N33" s="222"/>
      <c r="O33" s="222">
        <f>M33*$C$33</f>
        <v>34071</v>
      </c>
      <c r="P33" s="222"/>
      <c r="Q33" s="222">
        <f>O33*$C$33</f>
        <v>34071</v>
      </c>
      <c r="R33" s="222"/>
      <c r="S33" s="222">
        <f>Q33*$C$33</f>
        <v>34071</v>
      </c>
      <c r="T33" s="222"/>
      <c r="U33" s="222">
        <f>S33*$C$33</f>
        <v>34071</v>
      </c>
      <c r="V33" s="222"/>
      <c r="W33" s="222">
        <f>U33*$C$33</f>
        <v>34071</v>
      </c>
      <c r="X33" s="222"/>
      <c r="Y33" s="222">
        <f>W33*$C$33</f>
        <v>34071</v>
      </c>
      <c r="Z33" s="222"/>
      <c r="AA33" s="222">
        <f>Y33*$C$33</f>
        <v>34071</v>
      </c>
      <c r="AB33" s="222"/>
      <c r="AC33" s="222">
        <f>AA33*$C$33</f>
        <v>34071</v>
      </c>
      <c r="AD33" s="222"/>
      <c r="AE33" s="222">
        <f>AC33*$C$33</f>
        <v>34071</v>
      </c>
      <c r="AF33" s="222"/>
      <c r="AG33" s="222">
        <f>AE33*$C$33</f>
        <v>34071</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1353876.8441384705</v>
      </c>
      <c r="G35" s="223">
        <f>SUM(G22:G33)</f>
        <v>1395225.889603317</v>
      </c>
      <c r="I35" s="223">
        <f>SUM(I22:I33)</f>
        <v>1437929.4226824332</v>
      </c>
      <c r="K35" s="223">
        <f>SUM(K22:K33)</f>
        <v>1482032.5397178931</v>
      </c>
      <c r="M35" s="223">
        <f>SUM(M22:M33)</f>
        <v>1527581.8578056335</v>
      </c>
      <c r="O35" s="223">
        <f>SUM(O22:O33)</f>
        <v>1574625.5665843855</v>
      </c>
      <c r="Q35" s="223">
        <f>SUM(Q22:Q33)</f>
        <v>1623213.4818013425</v>
      </c>
      <c r="S35" s="223">
        <f>SUM(S22:S33)</f>
        <v>1673397.1007158568</v>
      </c>
      <c r="U35" s="223">
        <f>SUM(U22:U33)</f>
        <v>1725229.6594045726</v>
      </c>
      <c r="W35" s="223">
        <f>SUM(W22:W33)</f>
        <v>1778766.1920336105</v>
      </c>
      <c r="Y35" s="223">
        <f>SUM(Y22:Y33)</f>
        <v>1834063.5921656797</v>
      </c>
      <c r="AA35" s="223">
        <f>SUM(AA22:AA33)</f>
        <v>1891180.6761723571</v>
      </c>
      <c r="AC35" s="223">
        <f>SUM(AC22:AC33)</f>
        <v>1950178.2488241973</v>
      </c>
      <c r="AE35" s="223">
        <f>SUM(AE22:AE33)</f>
        <v>2011119.171133863</v>
      </c>
      <c r="AG35" s="223">
        <f>SUM(AG22:AG33)</f>
        <v>2074068.4305300605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1804618.2963615293</v>
      </c>
      <c r="G37" s="223">
        <f>G11-G35</f>
        <v>1842231.6294091826</v>
      </c>
      <c r="I37" s="223">
        <f>I11-I35</f>
        <v>1880464.5343053786</v>
      </c>
      <c r="K37" s="223">
        <f>K11-K35</f>
        <v>1919321.2661946132</v>
      </c>
      <c r="M37" s="223">
        <f>M11-M35</f>
        <v>1958805.7932546851</v>
      </c>
      <c r="O37" s="223">
        <f>O11-O35</f>
        <v>1998921.7757524415</v>
      </c>
      <c r="Q37" s="223">
        <f>Q11-Q35</f>
        <v>2039672.5440939052</v>
      </c>
      <c r="S37" s="223">
        <f>S11-S35</f>
        <v>2081061.0758267713</v>
      </c>
      <c r="U37" s="223">
        <f>U11-U35</f>
        <v>2123089.9715516213</v>
      </c>
      <c r="W37" s="223">
        <f>W11-W35</f>
        <v>2165761.4296964873</v>
      </c>
      <c r="Y37" s="223">
        <f>Y11-Y35</f>
        <v>2209077.2201076709</v>
      </c>
      <c r="AA37" s="223">
        <f>AA11-AA35</f>
        <v>2253038.6564078266</v>
      </c>
      <c r="AC37" s="223">
        <f>AC11-AC35</f>
        <v>2297646.5670704911</v>
      </c>
      <c r="AE37" s="223">
        <f>AE11-AE35</f>
        <v>2342901.2651581923</v>
      </c>
      <c r="AG37" s="223">
        <f>AG11-AG35</f>
        <v>2388802.5166692962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Tax-Exempt Loan</v>
      </c>
      <c r="B40" s="226"/>
      <c r="C40" s="220"/>
      <c r="E40" s="222">
        <f>Application!AF627</f>
        <v>1569233.3011839385</v>
      </c>
      <c r="F40" s="222"/>
      <c r="G40" s="222">
        <f>$E$40</f>
        <v>1569233.3011839385</v>
      </c>
      <c r="H40" s="222"/>
      <c r="I40" s="222">
        <f>$E$40</f>
        <v>1569233.3011839385</v>
      </c>
      <c r="J40" s="222"/>
      <c r="K40" s="222">
        <f>$E$40</f>
        <v>1569233.3011839385</v>
      </c>
      <c r="L40" s="222"/>
      <c r="M40" s="222">
        <f>$E$40</f>
        <v>1569233.3011839385</v>
      </c>
      <c r="N40" s="222"/>
      <c r="O40" s="222">
        <f>$E$40</f>
        <v>1569233.3011839385</v>
      </c>
      <c r="P40" s="222"/>
      <c r="Q40" s="222">
        <f>$E$40</f>
        <v>1569233.3011839385</v>
      </c>
      <c r="R40" s="222"/>
      <c r="S40" s="222">
        <f>$E$40</f>
        <v>1569233.3011839385</v>
      </c>
      <c r="T40" s="222"/>
      <c r="U40" s="222">
        <f>$E$40</f>
        <v>1569233.3011839385</v>
      </c>
      <c r="V40" s="222"/>
      <c r="W40" s="222">
        <f>$E$40</f>
        <v>1569233.3011839385</v>
      </c>
      <c r="X40" s="222"/>
      <c r="Y40" s="222">
        <f>$E$40</f>
        <v>1569233.3011839385</v>
      </c>
      <c r="Z40" s="222"/>
      <c r="AA40" s="222">
        <f>$E$40</f>
        <v>1569233.3011839385</v>
      </c>
      <c r="AB40" s="222"/>
      <c r="AC40" s="222">
        <f>$E$40</f>
        <v>1569233.3011839385</v>
      </c>
      <c r="AD40" s="222"/>
      <c r="AE40" s="222">
        <f>$E$40</f>
        <v>1569233.3011839385</v>
      </c>
      <c r="AF40" s="222"/>
      <c r="AG40" s="222">
        <f>$E$40</f>
        <v>1569233.3011839385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1569233.3011839385</v>
      </c>
      <c r="G43" s="223">
        <f>SUM(G40:G42)</f>
        <v>1569233.3011839385</v>
      </c>
      <c r="I43" s="223">
        <f>SUM(I40:I42)</f>
        <v>1569233.3011839385</v>
      </c>
      <c r="K43" s="223">
        <f>SUM(K40:K42)</f>
        <v>1569233.3011839385</v>
      </c>
      <c r="M43" s="223">
        <f>SUM(M40:M42)</f>
        <v>1569233.3011839385</v>
      </c>
      <c r="O43" s="223">
        <f>SUM(O40:O42)</f>
        <v>1569233.3011839385</v>
      </c>
      <c r="Q43" s="223">
        <f>SUM(Q40:Q42)</f>
        <v>1569233.3011839385</v>
      </c>
      <c r="S43" s="223">
        <f>SUM(S40:S42)</f>
        <v>1569233.3011839385</v>
      </c>
      <c r="U43" s="223">
        <f>SUM(U40:U42)</f>
        <v>1569233.3011839385</v>
      </c>
      <c r="W43" s="223">
        <f>SUM(W40:W42)</f>
        <v>1569233.3011839385</v>
      </c>
      <c r="Y43" s="223">
        <f>SUM(Y40:Y42)</f>
        <v>1569233.3011839385</v>
      </c>
      <c r="AA43" s="223">
        <f>SUM(AA40:AA42)</f>
        <v>1569233.3011839385</v>
      </c>
      <c r="AC43" s="223">
        <f>SUM(AC40:AC42)</f>
        <v>1569233.3011839385</v>
      </c>
      <c r="AE43" s="223">
        <f>SUM(AE40:AE42)</f>
        <v>1569233.3011839385</v>
      </c>
      <c r="AG43" s="223">
        <f>SUM(AG40:AG42)</f>
        <v>1569233.3011839385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235384.99517759075</v>
      </c>
      <c r="G45" s="223">
        <f>G37-G43</f>
        <v>272998.32822524407</v>
      </c>
      <c r="I45" s="223">
        <f>I37-I43</f>
        <v>311231.23312144005</v>
      </c>
      <c r="K45" s="223">
        <f>K37-K43</f>
        <v>350087.96501067467</v>
      </c>
      <c r="M45" s="223">
        <f>M37-M43</f>
        <v>389572.49207074661</v>
      </c>
      <c r="O45" s="223">
        <f>O37-O43</f>
        <v>429688.47456850298</v>
      </c>
      <c r="Q45" s="223">
        <f>Q37-Q43</f>
        <v>470439.24290996674</v>
      </c>
      <c r="S45" s="223">
        <f>S37-S43</f>
        <v>511827.77464283281</v>
      </c>
      <c r="U45" s="223">
        <f>U37-U43</f>
        <v>553856.67036768282</v>
      </c>
      <c r="W45" s="223">
        <f>W37-W43</f>
        <v>596528.12851254875</v>
      </c>
      <c r="Y45" s="223">
        <f>Y37-Y43</f>
        <v>639843.91892373236</v>
      </c>
      <c r="AA45" s="223">
        <f>AA37-AA43</f>
        <v>683805.35522388807</v>
      </c>
      <c r="AC45" s="223">
        <f>AC37-AC43</f>
        <v>728413.26588655263</v>
      </c>
      <c r="AE45" s="223">
        <f>AE37-AE43</f>
        <v>773667.96397425374</v>
      </c>
      <c r="AG45" s="223">
        <f>AG37-AG43</f>
        <v>819569.21548535768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7.0798192009664501E-2</v>
      </c>
      <c r="G47" s="227">
        <f>G45/(G4+G6+G8)</f>
        <v>8.0108668697864246E-2</v>
      </c>
      <c r="I47" s="227">
        <f>I45/(I4+I6+I8)</f>
        <v>8.9100232009147809E-2</v>
      </c>
      <c r="K47" s="227">
        <f>K45/(K4+K6+K8)</f>
        <v>9.7779762335225895E-2</v>
      </c>
      <c r="M47" s="227">
        <f>M45/(M4+M6+M8)</f>
        <v>0.10615396350278267</v>
      </c>
      <c r="O47" s="227">
        <f>O45/(O4+O6+O8)</f>
        <v>0.11422936699451801</v>
      </c>
      <c r="Q47" s="227">
        <f>Q45/(Q4+Q6+Q8)</f>
        <v>0.12201233606640469</v>
      </c>
      <c r="S47" s="227">
        <f>S45/(S4+S6+S8)</f>
        <v>0.12950906976368351</v>
      </c>
      <c r="U47" s="227">
        <f>U45/(U4+U6+U8)</f>
        <v>0.13672560683805843</v>
      </c>
      <c r="W47" s="227">
        <f>W45/(W4+W6+W8)</f>
        <v>0.14366782956849009</v>
      </c>
      <c r="Y47" s="227">
        <f>Y45/(Y4+Y6+Y8)</f>
        <v>0.15034146748793717</v>
      </c>
      <c r="AA47" s="227">
        <f>AA45/(AA4+AA6+AA8)</f>
        <v>0.15675210101832243</v>
      </c>
      <c r="AC47" s="227">
        <f>AC45/(AC4+AC6+AC8)</f>
        <v>0.16290516501596258</v>
      </c>
      <c r="AE47" s="227">
        <f>AE45/(AE4+AE6+AE8)</f>
        <v>0.1688059522296281</v>
      </c>
      <c r="AG47" s="227">
        <f>AG45/(AG4+AG6+AG8)</f>
        <v>0.17445961667336338</v>
      </c>
    </row>
    <row r="48" spans="1:33" s="227" customFormat="1" ht="14.25">
      <c r="A48" s="227" t="s">
        <v>851</v>
      </c>
      <c r="C48" s="220"/>
      <c r="E48" s="227">
        <f>E45/E43</f>
        <v>0.15</v>
      </c>
      <c r="G48" s="227">
        <f>G45/G43</f>
        <v>0.17396924218933871</v>
      </c>
      <c r="I48" s="227">
        <f>I45/I43</f>
        <v>0.19833330893922885</v>
      </c>
      <c r="K48" s="227">
        <f>K45/K43</f>
        <v>0.22309491185698394</v>
      </c>
      <c r="M48" s="227">
        <f>M45/M43</f>
        <v>0.24825657967927783</v>
      </c>
      <c r="O48" s="227">
        <f>O45/O43</f>
        <v>0.27382064492533786</v>
      </c>
      <c r="Q48" s="227">
        <f>Q45/Q43</f>
        <v>0.29978922990930329</v>
      </c>
      <c r="S48" s="227">
        <f>S45/S43</f>
        <v>0.32616423208497702</v>
      </c>
      <c r="U48" s="227">
        <f>U45/U43</f>
        <v>0.35294730869515378</v>
      </c>
      <c r="W48" s="227">
        <f>W45/W43</f>
        <v>0.38013986069661315</v>
      </c>
      <c r="Y48" s="227">
        <f>Y45/Y43</f>
        <v>0.40774301593076678</v>
      </c>
      <c r="AA48" s="227">
        <f>AA45/AA43</f>
        <v>0.43575761150873987</v>
      </c>
      <c r="AC48" s="227">
        <f>AC45/AC43</f>
        <v>0.46418417537850304</v>
      </c>
      <c r="AE48" s="227">
        <f>AE45/AE43</f>
        <v>0.49302290704036483</v>
      </c>
      <c r="AG48" s="227">
        <f>AG45/AG43</f>
        <v>0.52227365737587761</v>
      </c>
    </row>
    <row r="49" spans="1:34" s="228" customFormat="1" ht="14.25">
      <c r="A49" s="228" t="s">
        <v>849</v>
      </c>
      <c r="C49" s="229"/>
      <c r="E49" s="228">
        <f>E37/E43</f>
        <v>1.1499999999999999</v>
      </c>
      <c r="G49" s="228">
        <f>G37/G43</f>
        <v>1.1739692421893386</v>
      </c>
      <c r="I49" s="228">
        <f>I37/I43</f>
        <v>1.198333308939229</v>
      </c>
      <c r="K49" s="228">
        <f>K37/K43</f>
        <v>1.2230949118569838</v>
      </c>
      <c r="M49" s="228">
        <f>M37/M43</f>
        <v>1.2482565796792777</v>
      </c>
      <c r="O49" s="228">
        <f>O37/O43</f>
        <v>1.2738206449253378</v>
      </c>
      <c r="Q49" s="228">
        <f>Q37/Q43</f>
        <v>1.2997892299093032</v>
      </c>
      <c r="S49" s="228">
        <f>S37/S43</f>
        <v>1.3261642320849771</v>
      </c>
      <c r="U49" s="228">
        <f>U37/U43</f>
        <v>1.3529473086951538</v>
      </c>
      <c r="W49" s="228">
        <f>W37/W43</f>
        <v>1.3801398606966131</v>
      </c>
      <c r="Y49" s="228">
        <f>Y37/Y43</f>
        <v>1.4077430159307667</v>
      </c>
      <c r="AA49" s="228">
        <f>AA37/AA43</f>
        <v>1.4357576115087398</v>
      </c>
      <c r="AC49" s="228">
        <f>AC37/AC43</f>
        <v>1.464184175378503</v>
      </c>
      <c r="AE49" s="228">
        <f>AE37/AE43</f>
        <v>1.4930229070403649</v>
      </c>
      <c r="AG49" s="228">
        <f>AG37/AG43</f>
        <v>1.5222736573758777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1182</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854</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855</v>
      </c>
      <c r="C55" s="958"/>
      <c r="E55" s="965">
        <v>15000</v>
      </c>
      <c r="F55" s="960"/>
      <c r="G55" s="960">
        <f t="shared" si="1"/>
        <v>15450</v>
      </c>
      <c r="H55" s="960"/>
      <c r="I55" s="960">
        <f t="shared" si="1"/>
        <v>15913.5</v>
      </c>
      <c r="J55" s="960"/>
      <c r="K55" s="960">
        <f t="shared" si="1"/>
        <v>16390.904999999999</v>
      </c>
      <c r="L55" s="960"/>
      <c r="M55" s="960">
        <f t="shared" si="1"/>
        <v>16882.632149999998</v>
      </c>
      <c r="N55" s="960"/>
      <c r="O55" s="960">
        <f t="shared" si="1"/>
        <v>17389.1111145</v>
      </c>
      <c r="P55" s="960"/>
      <c r="Q55" s="960">
        <f t="shared" si="1"/>
        <v>17910.784447934999</v>
      </c>
      <c r="R55" s="960"/>
      <c r="S55" s="960">
        <f t="shared" si="1"/>
        <v>18448.10798137305</v>
      </c>
      <c r="T55" s="960"/>
      <c r="U55" s="960">
        <f t="shared" si="1"/>
        <v>19001.551220814243</v>
      </c>
      <c r="V55" s="960"/>
      <c r="W55" s="960">
        <f t="shared" si="1"/>
        <v>19571.597757438671</v>
      </c>
      <c r="X55" s="960"/>
      <c r="Y55" s="960">
        <f t="shared" si="1"/>
        <v>20158.745690161832</v>
      </c>
      <c r="Z55" s="960"/>
      <c r="AA55" s="960">
        <f t="shared" si="1"/>
        <v>20763.508060866687</v>
      </c>
      <c r="AB55" s="960"/>
      <c r="AC55" s="960">
        <f t="shared" si="1"/>
        <v>21386.413302692687</v>
      </c>
      <c r="AD55" s="960"/>
      <c r="AE55" s="960">
        <f t="shared" si="1"/>
        <v>22028.005701773469</v>
      </c>
      <c r="AF55" s="960"/>
      <c r="AG55" s="960">
        <f t="shared" si="1"/>
        <v>22688.845872826674</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45000</v>
      </c>
      <c r="F58" s="960"/>
      <c r="G58" s="960">
        <f>SUM(G53:G57)</f>
        <v>46350</v>
      </c>
      <c r="H58" s="960"/>
      <c r="I58" s="960">
        <f>SUM(I53:I57)</f>
        <v>47740.5</v>
      </c>
      <c r="J58" s="960"/>
      <c r="K58" s="960">
        <f>SUM(K53:K57)</f>
        <v>49172.714999999997</v>
      </c>
      <c r="L58" s="960"/>
      <c r="M58" s="960">
        <f>SUM(M53:M57)</f>
        <v>50647.896449999993</v>
      </c>
      <c r="N58" s="960"/>
      <c r="O58" s="960">
        <f>SUM(O53:O57)</f>
        <v>52167.333343499995</v>
      </c>
      <c r="P58" s="960"/>
      <c r="Q58" s="960">
        <f>SUM(Q53:Q57)</f>
        <v>53732.353343804993</v>
      </c>
      <c r="R58" s="960"/>
      <c r="S58" s="960">
        <f>SUM(S53:S57)</f>
        <v>55344.323944119154</v>
      </c>
      <c r="T58" s="960"/>
      <c r="U58" s="960">
        <f>SUM(U53:U57)</f>
        <v>57004.653662442724</v>
      </c>
      <c r="V58" s="960"/>
      <c r="W58" s="960">
        <f>SUM(W53:W57)</f>
        <v>58714.793272316012</v>
      </c>
      <c r="X58" s="960"/>
      <c r="Y58" s="960">
        <f>SUM(Y53:Y57)</f>
        <v>60476.237070485498</v>
      </c>
      <c r="Z58" s="960"/>
      <c r="AA58" s="960">
        <f>SUM(AA53:AA57)</f>
        <v>62290.524182600057</v>
      </c>
      <c r="AB58" s="960"/>
      <c r="AC58" s="960">
        <f>SUM(AC53:AC57)</f>
        <v>64159.23990807806</v>
      </c>
      <c r="AD58" s="960"/>
      <c r="AE58" s="960">
        <f>SUM(AE53:AE57)</f>
        <v>66084.01710532041</v>
      </c>
      <c r="AF58" s="960"/>
      <c r="AG58" s="960">
        <f>SUM(AG53:AG57)</f>
        <v>68066.537618480026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190384.99517759075</v>
      </c>
      <c r="G60" s="962">
        <f>G45-G58</f>
        <v>226648.32822524407</v>
      </c>
      <c r="I60" s="962">
        <f>I45-I58</f>
        <v>263490.73312144005</v>
      </c>
      <c r="K60" s="962">
        <f>K45-K58</f>
        <v>300915.2500106747</v>
      </c>
      <c r="M60" s="962">
        <f>M45-M58</f>
        <v>338924.59562074661</v>
      </c>
      <c r="O60" s="962">
        <f>O45-O58</f>
        <v>377521.141225003</v>
      </c>
      <c r="Q60" s="962">
        <f>Q45-Q58</f>
        <v>416706.88956616173</v>
      </c>
      <c r="S60" s="962">
        <f>S45-S58</f>
        <v>456483.45069871366</v>
      </c>
      <c r="U60" s="962">
        <f>U45-U58</f>
        <v>496852.01670524012</v>
      </c>
      <c r="W60" s="962">
        <f>W45-W58</f>
        <v>537813.33524023276</v>
      </c>
      <c r="Y60" s="962">
        <f>Y45-Y58</f>
        <v>579367.68185324688</v>
      </c>
      <c r="AA60" s="962">
        <f>AA45-AA58</f>
        <v>621514.83104128798</v>
      </c>
      <c r="AC60" s="962">
        <f>AC45-AC58</f>
        <v>664254.02597847453</v>
      </c>
      <c r="AE60" s="962">
        <f>AE45-AE58</f>
        <v>707583.94686893327</v>
      </c>
      <c r="AG60" s="962">
        <f>AG45-AG58</f>
        <v>751502.67786687764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190384.99517759075</v>
      </c>
      <c r="G62" s="962">
        <f>G60*$C$62</f>
        <v>226648.32822524407</v>
      </c>
      <c r="I62" s="962">
        <f>I60*$C$62</f>
        <v>263490.73312144005</v>
      </c>
      <c r="K62" s="962">
        <f>K60*$C$62</f>
        <v>300915.2500106747</v>
      </c>
      <c r="M62" s="962">
        <f>M60*$C$62</f>
        <v>338924.59562074661</v>
      </c>
      <c r="O62" s="962">
        <f>O60*$C$62</f>
        <v>377521.141225003</v>
      </c>
      <c r="Q62" s="962">
        <f>Q60*$C$62</f>
        <v>416706.88956616173</v>
      </c>
      <c r="S62" s="962">
        <f>S60*$C$62</f>
        <v>456483.45069871366</v>
      </c>
      <c r="U62" s="962">
        <f>U60*$C$62</f>
        <v>496852.01670524012</v>
      </c>
      <c r="W62" s="962">
        <f>W60*$C$62</f>
        <v>537813.33524023276</v>
      </c>
      <c r="Y62" s="962">
        <f>Application!AO628-SUM('15 Year Pro Forma'!E62:W62)</f>
        <v>498650.26440895256</v>
      </c>
    </row>
    <row r="63" spans="1:34" s="962" customFormat="1">
      <c r="A63" s="2693" t="s">
        <v>2752</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80717.417444294319</v>
      </c>
      <c r="AA72" s="962">
        <f>AA60-AA62-AA70</f>
        <v>621514.83104128798</v>
      </c>
      <c r="AC72" s="962">
        <f>AC60-AC63-AC70</f>
        <v>664254.02597847453</v>
      </c>
      <c r="AE72" s="962">
        <f>AE60-AE63-AE70</f>
        <v>707583.94686893327</v>
      </c>
      <c r="AG72" s="962">
        <f>AG60-AG63-AG70</f>
        <v>751502.67786687764</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1" t="s">
        <v>1719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554397</v>
      </c>
      <c r="C14" s="266">
        <f>'Sources and Uses Budget'!$C13</f>
        <v>554397</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400000</v>
      </c>
      <c r="C30" s="266">
        <f>'Sources and Uses Budget'!$C29</f>
        <v>400000</v>
      </c>
      <c r="D30" s="270">
        <f t="shared" si="0"/>
        <v>0</v>
      </c>
      <c r="E30" s="268"/>
      <c r="F30" s="267"/>
    </row>
    <row r="31" spans="1:6" s="352" customFormat="1">
      <c r="A31" s="145" t="s">
        <v>598</v>
      </c>
      <c r="B31" s="266">
        <f>'Sources and Uses Budget'!$C30</f>
        <v>30571880</v>
      </c>
      <c r="C31" s="266">
        <f>'Sources and Uses Budget'!$C30</f>
        <v>30571880</v>
      </c>
      <c r="D31" s="270">
        <f t="shared" si="0"/>
        <v>0</v>
      </c>
      <c r="E31" s="268"/>
      <c r="F31" s="267"/>
    </row>
    <row r="32" spans="1:6" s="352" customFormat="1">
      <c r="A32" s="145" t="s">
        <v>599</v>
      </c>
      <c r="B32" s="266">
        <f>'Sources and Uses Budget'!$C31</f>
        <v>2503500</v>
      </c>
      <c r="C32" s="266">
        <f>'Sources and Uses Budget'!$C31</f>
        <v>2503500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1358247</v>
      </c>
      <c r="C34" s="266">
        <f>'Sources and Uses Budget'!$C33</f>
        <v>1358247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215156</v>
      </c>
      <c r="C36" s="266">
        <f>'Sources and Uses Budget'!$C35</f>
        <v>215156</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P&amp;P Bonds</v>
      </c>
      <c r="B38" s="266">
        <f>'Sources and Uses Budget'!$C37</f>
        <v>192423</v>
      </c>
      <c r="C38" s="266">
        <f>'Sources and Uses Budget'!$C37</f>
        <v>192423</v>
      </c>
      <c r="D38" s="270">
        <f t="shared" si="0"/>
        <v>0</v>
      </c>
      <c r="E38" s="268"/>
      <c r="F38" s="267"/>
    </row>
    <row r="39" spans="1:6" s="352" customFormat="1">
      <c r="A39" s="271" t="s">
        <v>143</v>
      </c>
      <c r="B39" s="270">
        <f>SUM(B30:B38)</f>
        <v>35241206</v>
      </c>
      <c r="C39" s="270">
        <f>SUM(C30:C38)</f>
        <v>35241206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710000</v>
      </c>
      <c r="C41" s="266">
        <f>'Sources and Uses Budget'!$C40</f>
        <v>710000</v>
      </c>
      <c r="D41" s="270">
        <f t="shared" si="0"/>
        <v>0</v>
      </c>
      <c r="E41" s="268"/>
      <c r="F41" s="267"/>
    </row>
    <row r="42" spans="1:6" s="352" customFormat="1">
      <c r="A42" s="269" t="s">
        <v>146</v>
      </c>
      <c r="B42" s="266">
        <f>'Sources and Uses Budget'!$C41</f>
        <v>240000</v>
      </c>
      <c r="C42" s="266">
        <f>'Sources and Uses Budget'!$C41</f>
        <v>240000</v>
      </c>
      <c r="D42" s="270">
        <f t="shared" si="0"/>
        <v>0</v>
      </c>
      <c r="E42" s="268"/>
      <c r="F42" s="267"/>
    </row>
    <row r="43" spans="1:6" s="352" customFormat="1">
      <c r="A43" s="271" t="s">
        <v>147</v>
      </c>
      <c r="B43" s="270">
        <f>SUM(B41:B42)</f>
        <v>950000</v>
      </c>
      <c r="C43" s="270">
        <f>SUM(C41:C42)</f>
        <v>950000</v>
      </c>
      <c r="D43" s="270">
        <f t="shared" si="0"/>
        <v>0</v>
      </c>
      <c r="E43" s="268"/>
      <c r="F43" s="267"/>
    </row>
    <row r="44" spans="1:6" s="352" customFormat="1">
      <c r="A44" s="271" t="s">
        <v>148</v>
      </c>
      <c r="B44" s="266">
        <f>'Sources and Uses Budget'!$C43</f>
        <v>1618800</v>
      </c>
      <c r="C44" s="266">
        <f>'Sources and Uses Budget'!$C43</f>
        <v>1618800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2320369</v>
      </c>
      <c r="C46" s="266">
        <f>'Sources and Uses Budget'!$C45</f>
        <v>2320369</v>
      </c>
      <c r="D46" s="270">
        <f t="shared" si="0"/>
        <v>0</v>
      </c>
      <c r="E46" s="268"/>
      <c r="F46" s="267"/>
    </row>
    <row r="47" spans="1:6" s="352" customFormat="1">
      <c r="A47" s="145" t="s">
        <v>151</v>
      </c>
      <c r="B47" s="266">
        <f>'Sources and Uses Budget'!$C46</f>
        <v>308025</v>
      </c>
      <c r="C47" s="266">
        <f>'Sources and Uses Budget'!$C46</f>
        <v>308025</v>
      </c>
      <c r="D47" s="270">
        <f t="shared" si="0"/>
        <v>0</v>
      </c>
      <c r="E47" s="268"/>
      <c r="F47" s="267"/>
    </row>
    <row r="48" spans="1:6" s="352" customFormat="1" ht="12" customHeight="1">
      <c r="A48" s="186" t="s">
        <v>152</v>
      </c>
      <c r="B48" s="266">
        <f>'Sources and Uses Budget'!$C47</f>
        <v>947400</v>
      </c>
      <c r="C48" s="266">
        <f>'Sources and Uses Budget'!$C47</f>
        <v>947400</v>
      </c>
      <c r="D48" s="270">
        <f t="shared" si="0"/>
        <v>0</v>
      </c>
      <c r="E48" s="268"/>
      <c r="F48" s="267"/>
    </row>
    <row r="49" spans="1:6" s="352" customFormat="1">
      <c r="A49" s="145" t="s">
        <v>153</v>
      </c>
      <c r="B49" s="266">
        <f>'Sources and Uses Budget'!$C48</f>
        <v>208340</v>
      </c>
      <c r="C49" s="266">
        <f>'Sources and Uses Budget'!$C48</f>
        <v>208340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104000</v>
      </c>
      <c r="C51" s="266">
        <f>'Sources and Uses Budget'!$C50</f>
        <v>104000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1250000</v>
      </c>
      <c r="C53" s="266">
        <f>'Sources and Uses Budget'!$C52</f>
        <v>1250000</v>
      </c>
      <c r="D53" s="270">
        <f t="shared" si="0"/>
        <v>0</v>
      </c>
      <c r="E53" s="268"/>
      <c r="F53" s="267"/>
    </row>
    <row r="54" spans="1:6" s="352" customFormat="1">
      <c r="A54" s="155" t="str">
        <f>'Sources and Uses Budget'!A53</f>
        <v>Ground Lease Interest Prior to Conversion</v>
      </c>
      <c r="B54" s="266">
        <f>'Sources and Uses Budget'!$C53</f>
        <v>919707</v>
      </c>
      <c r="C54" s="266">
        <f>'Sources and Uses Budget'!$C53</f>
        <v>919707</v>
      </c>
      <c r="D54" s="270">
        <f t="shared" si="0"/>
        <v>0</v>
      </c>
      <c r="E54" s="268"/>
      <c r="F54" s="267"/>
    </row>
    <row r="55" spans="1:6" s="353" customFormat="1">
      <c r="A55" s="271" t="s">
        <v>157</v>
      </c>
      <c r="B55" s="273">
        <f>SUM(B46:B54)</f>
        <v>6107841</v>
      </c>
      <c r="C55" s="273">
        <f>SUM(C46:C54)</f>
        <v>6107841</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172964</v>
      </c>
      <c r="C57" s="266">
        <f>'Sources and Uses Budget'!$C56</f>
        <v>172964</v>
      </c>
      <c r="D57" s="270">
        <f t="shared" si="0"/>
        <v>0</v>
      </c>
      <c r="E57" s="268"/>
      <c r="F57" s="267"/>
    </row>
    <row r="58" spans="1:6" s="352" customFormat="1" ht="12" customHeight="1">
      <c r="A58" s="269" t="s">
        <v>152</v>
      </c>
      <c r="B58" s="266">
        <f>'Sources and Uses Budget'!$C57</f>
        <v>26000</v>
      </c>
      <c r="C58" s="266">
        <f>'Sources and Uses Budget'!$C57</f>
        <v>26000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 xml:space="preserve">Other: Perm Loan Interest (Construction Loans) </v>
      </c>
      <c r="B62" s="266">
        <f>'Sources and Uses Budget'!$C61</f>
        <v>753076</v>
      </c>
      <c r="C62" s="266">
        <f>'Sources and Uses Budget'!$C61</f>
        <v>753076</v>
      </c>
      <c r="D62" s="270">
        <f t="shared" si="0"/>
        <v>0</v>
      </c>
      <c r="E62" s="268"/>
      <c r="F62" s="267"/>
    </row>
    <row r="63" spans="1:6" s="352" customFormat="1" ht="13.7" customHeight="1">
      <c r="A63" s="271" t="s">
        <v>300</v>
      </c>
      <c r="B63" s="270">
        <f>SUM(B57:B62)</f>
        <v>982040</v>
      </c>
      <c r="C63" s="270">
        <f>SUM(C57:C62)</f>
        <v>982040</v>
      </c>
      <c r="D63" s="270">
        <f t="shared" si="0"/>
        <v>0</v>
      </c>
      <c r="E63" s="268"/>
      <c r="F63" s="267"/>
    </row>
    <row r="64" spans="1:6" s="352" customFormat="1">
      <c r="A64" s="274" t="s">
        <v>301</v>
      </c>
      <c r="B64" s="270">
        <f>SUM(B9+B12+B14+B15+B17+B26+B28+B39+B43+B44+B55+B63)</f>
        <v>45454284</v>
      </c>
      <c r="C64" s="270">
        <f>SUM(C9+C12+C14+C15+C17+C26+C28+C39+C43+C44+C55+C63)</f>
        <v>45454284</v>
      </c>
      <c r="D64" s="270">
        <f t="shared" si="0"/>
        <v>0</v>
      </c>
      <c r="E64" s="268"/>
      <c r="F64" s="267"/>
    </row>
    <row r="65" spans="1:6" s="352" customFormat="1" ht="24">
      <c r="A65" s="141" t="s">
        <v>1642</v>
      </c>
      <c r="B65" s="264"/>
      <c r="C65" s="264"/>
      <c r="D65" s="264"/>
      <c r="E65" s="282"/>
      <c r="F65" s="264"/>
    </row>
    <row r="66" spans="1:6" s="352" customFormat="1">
      <c r="A66" s="145" t="s">
        <v>170</v>
      </c>
      <c r="B66" s="266">
        <f>'Sources and Uses Budget'!$C65</f>
        <v>150000</v>
      </c>
      <c r="C66" s="266">
        <f>'Sources and Uses Budget'!$C65</f>
        <v>150000</v>
      </c>
      <c r="D66" s="270">
        <f t="shared" si="0"/>
        <v>0</v>
      </c>
      <c r="E66" s="268"/>
      <c r="F66" s="267"/>
    </row>
    <row r="67" spans="1:6" s="352" customFormat="1" ht="24">
      <c r="A67" s="283" t="s">
        <v>1639</v>
      </c>
      <c r="B67" s="266">
        <f>'Sources and Uses Budget'!$C66</f>
        <v>0</v>
      </c>
      <c r="C67" s="266">
        <f>'Sources and Uses Budget'!$C66</f>
        <v>0</v>
      </c>
      <c r="D67" s="270"/>
      <c r="E67" s="268"/>
      <c r="F67" s="267"/>
    </row>
    <row r="68" spans="1:6" s="352" customFormat="1" ht="24">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 xml:space="preserve">Other: Partnership Legal/Other </v>
      </c>
      <c r="B70" s="266">
        <f>'Sources and Uses Budget'!$C69</f>
        <v>440000</v>
      </c>
      <c r="C70" s="266">
        <f>'Sources and Uses Budget'!$C69</f>
        <v>440000</v>
      </c>
      <c r="D70" s="270">
        <f t="shared" si="0"/>
        <v>0</v>
      </c>
      <c r="E70" s="268"/>
      <c r="F70" s="267"/>
    </row>
    <row r="71" spans="1:6" s="352" customFormat="1">
      <c r="A71" s="149" t="s">
        <v>1643</v>
      </c>
      <c r="B71" s="270">
        <f>SUM(B66:B70)</f>
        <v>590000</v>
      </c>
      <c r="C71" s="270">
        <f>SUM(C66:C70)</f>
        <v>590000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730778</v>
      </c>
      <c r="C76" s="266">
        <f>'Sources and Uses Budget'!$C75</f>
        <v>730778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730778</v>
      </c>
      <c r="C78" s="270">
        <f>SUM(C73:C77)</f>
        <v>730778</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1742060</v>
      </c>
      <c r="C80" s="266">
        <f>'Sources and Uses Budget'!$C79</f>
        <v>1742060</v>
      </c>
      <c r="D80" s="270">
        <f t="shared" si="1"/>
        <v>0</v>
      </c>
      <c r="E80" s="268"/>
      <c r="F80" s="267"/>
    </row>
    <row r="81" spans="1:6" s="352" customFormat="1">
      <c r="A81" s="510" t="s">
        <v>58</v>
      </c>
      <c r="B81" s="266">
        <f>'Sources and Uses Budget'!$C80</f>
        <v>700000</v>
      </c>
      <c r="C81" s="266">
        <f>'Sources and Uses Budget'!$C80</f>
        <v>700000</v>
      </c>
      <c r="D81" s="270">
        <f>C81-B81</f>
        <v>0</v>
      </c>
      <c r="E81" s="268"/>
      <c r="F81" s="267"/>
    </row>
    <row r="82" spans="1:6" s="352" customFormat="1">
      <c r="A82" s="271" t="s">
        <v>1207</v>
      </c>
      <c r="B82" s="270">
        <f>SUM(B80:B81)</f>
        <v>2442060</v>
      </c>
      <c r="C82" s="270">
        <f>SUM(C80:C81)</f>
        <v>2442060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141330</v>
      </c>
      <c r="C84" s="266">
        <f>'Sources and Uses Budget'!$C83</f>
        <v>141330</v>
      </c>
      <c r="D84" s="270">
        <f t="shared" si="1"/>
        <v>0</v>
      </c>
      <c r="E84" s="268"/>
      <c r="F84" s="267"/>
    </row>
    <row r="85" spans="1:6" s="352" customFormat="1">
      <c r="A85" s="269" t="s">
        <v>766</v>
      </c>
      <c r="B85" s="266">
        <f>'Sources and Uses Budget'!$C84</f>
        <v>9300</v>
      </c>
      <c r="C85" s="266">
        <f>'Sources and Uses Budget'!$C84</f>
        <v>9300</v>
      </c>
      <c r="D85" s="270">
        <f t="shared" si="1"/>
        <v>0</v>
      </c>
      <c r="E85" s="268"/>
      <c r="F85" s="267"/>
    </row>
    <row r="86" spans="1:6" s="352" customFormat="1">
      <c r="A86" s="269" t="s">
        <v>767</v>
      </c>
      <c r="B86" s="266">
        <f>'Sources and Uses Budget'!$C85</f>
        <v>180985</v>
      </c>
      <c r="C86" s="266">
        <f>'Sources and Uses Budget'!$C85</f>
        <v>180985</v>
      </c>
      <c r="D86" s="270">
        <f t="shared" si="1"/>
        <v>0</v>
      </c>
      <c r="E86" s="268"/>
      <c r="F86" s="267"/>
    </row>
    <row r="87" spans="1:6" s="352" customFormat="1">
      <c r="A87" s="269" t="s">
        <v>768</v>
      </c>
      <c r="B87" s="266">
        <f>'Sources and Uses Budget'!$C86</f>
        <v>1213117</v>
      </c>
      <c r="C87" s="266">
        <f>'Sources and Uses Budget'!$C86</f>
        <v>1213117</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157000</v>
      </c>
      <c r="C89" s="266">
        <f>'Sources and Uses Budget'!$C88</f>
        <v>157000</v>
      </c>
      <c r="D89" s="270">
        <f t="shared" si="1"/>
        <v>0</v>
      </c>
      <c r="E89" s="268"/>
      <c r="F89" s="267"/>
    </row>
    <row r="90" spans="1:6" s="352" customFormat="1">
      <c r="A90" s="269" t="s">
        <v>771</v>
      </c>
      <c r="B90" s="266">
        <f>'Sources and Uses Budget'!$C89</f>
        <v>474000</v>
      </c>
      <c r="C90" s="266">
        <f>'Sources and Uses Budget'!$C89</f>
        <v>474000</v>
      </c>
      <c r="D90" s="270">
        <f t="shared" si="1"/>
        <v>0</v>
      </c>
      <c r="E90" s="268"/>
      <c r="F90" s="267"/>
    </row>
    <row r="91" spans="1:6" s="352" customFormat="1">
      <c r="A91" s="269" t="s">
        <v>772</v>
      </c>
      <c r="B91" s="266">
        <f>'Sources and Uses Budget'!$C90</f>
        <v>18500</v>
      </c>
      <c r="C91" s="266">
        <f>'Sources and Uses Budget'!$C90</f>
        <v>18500</v>
      </c>
      <c r="D91" s="270">
        <f t="shared" si="1"/>
        <v>0</v>
      </c>
      <c r="E91" s="268"/>
      <c r="F91" s="267"/>
    </row>
    <row r="92" spans="1:6" s="352" customFormat="1">
      <c r="A92" s="269" t="s">
        <v>371</v>
      </c>
      <c r="B92" s="266">
        <f>'Sources and Uses Budget'!$C91</f>
        <v>60000</v>
      </c>
      <c r="C92" s="266">
        <f>'Sources and Uses Budget'!$C91</f>
        <v>60000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23000</v>
      </c>
      <c r="C94" s="266">
        <f>'Sources and Uses Budget'!$C93</f>
        <v>23000</v>
      </c>
      <c r="D94" s="270">
        <f t="shared" si="1"/>
        <v>0</v>
      </c>
      <c r="E94" s="268"/>
      <c r="F94" s="267"/>
    </row>
    <row r="95" spans="1:6" s="352" customFormat="1">
      <c r="A95" s="272" t="s">
        <v>34</v>
      </c>
      <c r="B95" s="266">
        <f>'Sources and Uses Budget'!$C94</f>
        <v>310000</v>
      </c>
      <c r="C95" s="266">
        <f>'Sources and Uses Budget'!$C94</f>
        <v>310000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2587232</v>
      </c>
      <c r="C97" s="270">
        <f>SUM(C84:C96)</f>
        <v>2587232</v>
      </c>
      <c r="D97" s="270">
        <f t="shared" si="1"/>
        <v>0</v>
      </c>
      <c r="E97" s="268"/>
      <c r="F97" s="267"/>
    </row>
    <row r="98" spans="1:6" s="352" customFormat="1">
      <c r="A98" s="271" t="s">
        <v>774</v>
      </c>
      <c r="B98" s="270">
        <f>SUM(B64+B71+B78+B82+B97)</f>
        <v>51804354</v>
      </c>
      <c r="C98" s="270">
        <f>SUM(C64+C71+C78+C82+C97)</f>
        <v>51804354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7140860</v>
      </c>
      <c r="C100" s="266">
        <f>'Sources and Uses Budget'!$C99</f>
        <v>7140860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7140860</v>
      </c>
      <c r="C105" s="270">
        <f>SUM(C100:C104)</f>
        <v>7140860</v>
      </c>
      <c r="D105" s="270">
        <f t="shared" si="1"/>
        <v>0</v>
      </c>
      <c r="E105" s="268"/>
      <c r="F105" s="267"/>
    </row>
    <row r="106" spans="1:6" s="352" customFormat="1">
      <c r="A106" s="271" t="s">
        <v>779</v>
      </c>
      <c r="B106" s="273">
        <f>SUM(B98+B105)</f>
        <v>58945214</v>
      </c>
      <c r="C106" s="273">
        <f>SUM(C98+C105)</f>
        <v>58945214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75" t="s">
        <v>1867</v>
      </c>
      <c r="B1" s="1276"/>
      <c r="C1" s="1276"/>
      <c r="D1" s="1276"/>
      <c r="E1" s="1276"/>
      <c r="F1" s="1276"/>
      <c r="G1" s="1276"/>
      <c r="H1" s="1276"/>
      <c r="I1" s="1276"/>
      <c r="J1" s="1276"/>
    </row>
    <row r="2" spans="1:10" ht="15">
      <c r="A2" s="1279" t="s">
        <v>1266</v>
      </c>
      <c r="B2" s="1280"/>
      <c r="C2" s="1280"/>
      <c r="D2" s="1280"/>
      <c r="E2" s="1280"/>
      <c r="F2" s="1280"/>
      <c r="G2" s="1280"/>
      <c r="H2" s="1280"/>
      <c r="I2" s="1280"/>
      <c r="J2" s="1280"/>
    </row>
    <row r="3" spans="1:10" ht="12.75"/>
    <row r="4" spans="1:10" ht="12.75" customHeight="1">
      <c r="A4" s="1277" t="s">
        <v>2045</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1" t="s">
        <v>1872</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1187</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1188</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1868</v>
      </c>
      <c r="B71" s="1278"/>
      <c r="C71" s="1278"/>
      <c r="D71" s="1278"/>
      <c r="E71" s="1278"/>
      <c r="F71" s="1278"/>
      <c r="G71" s="1278"/>
      <c r="H71" s="1278"/>
      <c r="I71" s="1278"/>
    </row>
    <row r="72" spans="1:9" ht="12.75">
      <c r="A72" s="1270" t="s">
        <v>2043</v>
      </c>
      <c r="B72" s="1270"/>
      <c r="C72" s="1270"/>
      <c r="D72" s="1270"/>
      <c r="E72" s="1270"/>
    </row>
    <row r="73" spans="1:9" ht="12.75">
      <c r="A73" s="1270" t="s">
        <v>2044</v>
      </c>
      <c r="B73" s="1270"/>
      <c r="C73" s="1270"/>
      <c r="D73" s="1270"/>
      <c r="E73" s="1270"/>
    </row>
    <row r="74" spans="1:9" ht="12.75">
      <c r="A74" s="1270" t="s">
        <v>1869</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71" workbookViewId="0">
      <selection activeCell="F1058" sqref="F105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2457</v>
      </c>
      <c r="B2" s="1332"/>
      <c r="C2" s="1332"/>
      <c r="D2" s="1332"/>
      <c r="E2" s="1332"/>
      <c r="F2" s="1332"/>
      <c r="G2" s="1332"/>
      <c r="H2" s="1332"/>
      <c r="I2" s="1332"/>
    </row>
    <row r="3" spans="1:13">
      <c r="A3" s="1320" t="s">
        <v>2217</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2216</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1099</v>
      </c>
      <c r="B9" s="1309"/>
      <c r="C9" s="1309"/>
      <c r="D9" s="1309"/>
      <c r="E9" s="1309"/>
      <c r="F9" s="1309"/>
      <c r="G9" s="1309"/>
      <c r="H9" s="1028"/>
      <c r="I9" s="1029"/>
    </row>
    <row r="10" spans="1:13">
      <c r="A10" s="482"/>
      <c r="B10" s="482"/>
      <c r="E10" s="404"/>
    </row>
    <row r="11" spans="1:13" ht="13.7" customHeight="1">
      <c r="C11" s="482"/>
      <c r="D11" s="1322" t="s">
        <v>1098</v>
      </c>
      <c r="E11" s="1322"/>
      <c r="F11" s="1322"/>
    </row>
    <row r="12" spans="1:13">
      <c r="C12" s="482"/>
      <c r="D12" s="1322"/>
      <c r="E12" s="1322"/>
      <c r="F12" s="1322"/>
    </row>
    <row r="13" spans="1:13">
      <c r="A13" s="483"/>
      <c r="B13" s="483"/>
      <c r="C13" s="483"/>
      <c r="D13" s="1300" t="s">
        <v>1088</v>
      </c>
      <c r="E13" s="1300"/>
      <c r="F13" s="1300"/>
      <c r="M13" s="96"/>
    </row>
    <row r="14" spans="1:13">
      <c r="A14" s="483"/>
      <c r="B14" s="483"/>
      <c r="C14" s="483"/>
      <c r="D14" s="476"/>
      <c r="L14" s="312"/>
    </row>
    <row r="15" spans="1:13" ht="14.25">
      <c r="A15" s="484"/>
      <c r="B15" s="485" t="s">
        <v>2715</v>
      </c>
      <c r="C15" s="483"/>
      <c r="D15" s="1302" t="s">
        <v>1920</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1918</v>
      </c>
      <c r="F18" s="445"/>
      <c r="I18" s="490"/>
    </row>
    <row r="19" spans="1:9">
      <c r="A19" s="483"/>
      <c r="B19" s="483"/>
      <c r="C19" s="483"/>
      <c r="I19" s="490"/>
    </row>
    <row r="20" spans="1:9" ht="14.25">
      <c r="A20" s="484"/>
      <c r="B20" s="485" t="s">
        <v>2715</v>
      </c>
      <c r="D20" s="1302" t="s">
        <v>1921</v>
      </c>
      <c r="E20" s="1302"/>
      <c r="F20" s="1302"/>
      <c r="I20" s="490"/>
    </row>
    <row r="21" spans="1:9" ht="14.25">
      <c r="A21" s="484"/>
      <c r="D21" s="1302"/>
      <c r="E21" s="1302"/>
      <c r="F21" s="1302"/>
      <c r="I21" s="490"/>
    </row>
    <row r="22" spans="1:9" ht="14.25">
      <c r="A22" s="484"/>
      <c r="D22" s="392"/>
      <c r="E22" s="96" t="s">
        <v>1917</v>
      </c>
      <c r="F22" s="392"/>
      <c r="I22" s="490"/>
    </row>
    <row r="23" spans="1:9" ht="14.25">
      <c r="A23" s="484"/>
      <c r="B23" s="484"/>
      <c r="D23" s="446"/>
      <c r="I23" s="490"/>
    </row>
    <row r="24" spans="1:9" ht="14.25">
      <c r="A24" s="484"/>
      <c r="B24" s="485" t="s">
        <v>2716</v>
      </c>
      <c r="D24" s="1302" t="s">
        <v>1089</v>
      </c>
      <c r="E24" s="1302"/>
      <c r="F24" s="1302"/>
      <c r="I24" s="490"/>
    </row>
    <row r="25" spans="1:9" ht="14.25">
      <c r="A25" s="484"/>
      <c r="B25" s="484"/>
      <c r="D25" s="1302"/>
      <c r="E25" s="1302"/>
      <c r="F25" s="1302"/>
      <c r="I25" s="490"/>
    </row>
    <row r="26" spans="1:9">
      <c r="I26" s="490"/>
    </row>
    <row r="27" spans="1:9" ht="14.25">
      <c r="A27" s="484"/>
      <c r="B27" s="485" t="s">
        <v>2715</v>
      </c>
      <c r="D27" s="1302" t="s">
        <v>2046</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2715</v>
      </c>
      <c r="D33" s="1302" t="s">
        <v>2047</v>
      </c>
      <c r="E33" s="1302"/>
      <c r="F33" s="1302"/>
      <c r="I33" s="490"/>
    </row>
    <row r="34" spans="1:9">
      <c r="D34" s="1302"/>
      <c r="E34" s="1302"/>
      <c r="F34" s="1302"/>
      <c r="I34" s="490"/>
    </row>
    <row r="35" spans="1:9" ht="14.25">
      <c r="A35" s="484"/>
      <c r="B35" s="484"/>
      <c r="D35" s="447"/>
      <c r="I35" s="490"/>
    </row>
    <row r="36" spans="1:9" ht="14.45" customHeight="1">
      <c r="A36" s="484"/>
      <c r="B36" s="485" t="s">
        <v>2716</v>
      </c>
      <c r="D36" s="1302" t="s">
        <v>1212</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2715</v>
      </c>
      <c r="D41" s="1302" t="s">
        <v>1090</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2716</v>
      </c>
      <c r="D47" s="1302" t="s">
        <v>1091</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2716</v>
      </c>
      <c r="D52" s="1302" t="s">
        <v>1092</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2715</v>
      </c>
      <c r="D56" s="1325" t="s">
        <v>1093</v>
      </c>
      <c r="E56" s="1325"/>
      <c r="F56" s="1325"/>
      <c r="I56" s="490"/>
    </row>
    <row r="57" spans="1:9" ht="14.25">
      <c r="A57" s="484"/>
      <c r="B57" s="484"/>
      <c r="D57" s="1325"/>
      <c r="E57" s="1325"/>
      <c r="F57" s="1325"/>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2715</v>
      </c>
      <c r="D61" s="1302" t="s">
        <v>1094</v>
      </c>
      <c r="E61" s="1302"/>
      <c r="F61" s="1302"/>
      <c r="I61" s="490"/>
    </row>
    <row r="62" spans="1:9">
      <c r="D62" s="1302"/>
      <c r="E62" s="1302"/>
      <c r="F62" s="1302"/>
      <c r="I62" s="490"/>
    </row>
    <row r="63" spans="1:9">
      <c r="D63" s="1302"/>
      <c r="E63" s="1302"/>
      <c r="F63" s="1302"/>
      <c r="I63" s="490"/>
    </row>
    <row r="64" spans="1:9">
      <c r="I64" s="490"/>
    </row>
    <row r="65" spans="1:9" ht="14.25">
      <c r="A65" s="484"/>
      <c r="B65" s="485" t="s">
        <v>2716</v>
      </c>
      <c r="D65" s="1302" t="s">
        <v>1095</v>
      </c>
      <c r="E65" s="1302"/>
      <c r="F65" s="1302"/>
      <c r="I65" s="490"/>
    </row>
    <row r="66" spans="1:9">
      <c r="D66" s="1302"/>
      <c r="E66" s="1302"/>
      <c r="F66" s="1302"/>
      <c r="I66" s="490"/>
    </row>
    <row r="67" spans="1:9">
      <c r="I67" s="490"/>
    </row>
    <row r="68" spans="1:9" ht="14.25">
      <c r="A68" s="484"/>
      <c r="B68" s="485" t="s">
        <v>2716</v>
      </c>
      <c r="D68" s="1302" t="s">
        <v>1096</v>
      </c>
      <c r="E68" s="1302"/>
      <c r="F68" s="1302"/>
      <c r="I68" s="490"/>
    </row>
    <row r="69" spans="1:9">
      <c r="D69" s="1302"/>
      <c r="E69" s="1302"/>
      <c r="F69" s="1302"/>
      <c r="I69" s="490"/>
    </row>
    <row r="70" spans="1:9">
      <c r="D70" s="1302"/>
      <c r="E70" s="1302"/>
      <c r="F70" s="1302"/>
      <c r="I70" s="490"/>
    </row>
    <row r="71" spans="1:9">
      <c r="I71" s="490"/>
    </row>
    <row r="72" spans="1:9" ht="14.25">
      <c r="A72" s="484"/>
      <c r="B72" s="485" t="s">
        <v>2716</v>
      </c>
      <c r="D72" s="1302" t="s">
        <v>1097</v>
      </c>
      <c r="E72" s="1302"/>
      <c r="F72" s="1302"/>
      <c r="I72" s="490"/>
    </row>
    <row r="73" spans="1:9">
      <c r="D73" s="1302"/>
      <c r="E73" s="1302"/>
      <c r="F73" s="1302"/>
      <c r="I73" s="490"/>
    </row>
    <row r="74" spans="1:9" ht="14.25">
      <c r="A74" s="484"/>
      <c r="B74" s="484"/>
      <c r="D74" s="446"/>
      <c r="I74" s="490"/>
    </row>
    <row r="75" spans="1:9">
      <c r="A75" s="1309" t="s">
        <v>1042</v>
      </c>
      <c r="B75" s="1309"/>
      <c r="C75" s="1309"/>
      <c r="D75" s="1309"/>
      <c r="E75" s="1309"/>
      <c r="F75" s="1309"/>
      <c r="G75" s="1309"/>
      <c r="H75" s="1028"/>
      <c r="I75" s="1153"/>
    </row>
    <row r="76" spans="1:9">
      <c r="I76" s="490"/>
    </row>
    <row r="77" spans="1:9">
      <c r="C77" s="486"/>
      <c r="D77" s="1318" t="s">
        <v>1100</v>
      </c>
      <c r="E77" s="1318"/>
      <c r="F77" s="1318"/>
      <c r="I77" s="490"/>
    </row>
    <row r="78" spans="1:9">
      <c r="A78" s="446"/>
      <c r="B78" s="446"/>
      <c r="D78" s="1302" t="s">
        <v>1115</v>
      </c>
      <c r="E78" s="1302"/>
      <c r="F78" s="1302"/>
      <c r="I78" s="490"/>
    </row>
    <row r="79" spans="1:9">
      <c r="A79" s="446"/>
      <c r="B79" s="446"/>
      <c r="I79" s="490"/>
    </row>
    <row r="80" spans="1:9" ht="13.7" customHeight="1">
      <c r="A80" s="484"/>
      <c r="B80" s="485" t="s">
        <v>2715</v>
      </c>
      <c r="D80" s="1302" t="s">
        <v>1243</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2715</v>
      </c>
      <c r="D89" s="1302" t="s">
        <v>1740</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2715</v>
      </c>
      <c r="D92" s="1302" t="s">
        <v>1743</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2715</v>
      </c>
      <c r="D96" s="1302" t="s">
        <v>1742</v>
      </c>
      <c r="E96" s="1302"/>
      <c r="F96" s="1302"/>
      <c r="I96" s="490"/>
    </row>
    <row r="97" spans="1:9" s="987" customFormat="1" ht="14.25">
      <c r="A97" s="985"/>
      <c r="B97" s="985"/>
      <c r="C97" s="986"/>
      <c r="D97" s="1302"/>
      <c r="E97" s="1302"/>
      <c r="F97" s="1302"/>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2716</v>
      </c>
      <c r="D100" s="1302" t="s">
        <v>1741</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2716</v>
      </c>
      <c r="D103" s="1302" t="s">
        <v>1192</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2716</v>
      </c>
      <c r="D119" s="1324" t="s">
        <v>1101</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2715</v>
      </c>
      <c r="C128" s="402"/>
      <c r="D128" s="1324" t="s">
        <v>2048</v>
      </c>
      <c r="E128" s="1324"/>
      <c r="F128" s="1324"/>
      <c r="I128" s="490"/>
    </row>
    <row r="129" spans="1:9" ht="14.25">
      <c r="A129" s="484"/>
      <c r="B129" s="484"/>
      <c r="C129" s="402"/>
      <c r="D129" s="1324"/>
      <c r="E129" s="1324"/>
      <c r="F129" s="1324"/>
      <c r="I129" s="490"/>
    </row>
    <row r="130" spans="1:9">
      <c r="I130" s="490"/>
    </row>
    <row r="131" spans="1:9" ht="14.25">
      <c r="A131" s="484"/>
      <c r="B131" s="485" t="s">
        <v>2715</v>
      </c>
      <c r="D131" s="1302" t="s">
        <v>1102</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2715</v>
      </c>
      <c r="D137" s="1302" t="s">
        <v>1103</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2716</v>
      </c>
      <c r="D151" s="1302" t="s">
        <v>1175</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2071</v>
      </c>
      <c r="E169" s="1321"/>
      <c r="F169" s="1321"/>
      <c r="G169" s="507"/>
      <c r="I169" s="490"/>
    </row>
    <row r="170" spans="1:9" ht="13.7" customHeight="1">
      <c r="D170" s="1319"/>
      <c r="E170" s="1319"/>
      <c r="F170" s="1319"/>
      <c r="G170" s="1319"/>
      <c r="I170" s="490"/>
    </row>
    <row r="171" spans="1:9" ht="14.45" customHeight="1">
      <c r="A171" s="489"/>
      <c r="B171" s="485" t="s">
        <v>2716</v>
      </c>
      <c r="C171" s="476"/>
      <c r="D171" s="1273" t="s">
        <v>2211</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2716</v>
      </c>
      <c r="C177" s="476"/>
      <c r="D177" s="1273" t="s">
        <v>1104</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2716</v>
      </c>
      <c r="D182" s="1314" t="s">
        <v>2049</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2050</v>
      </c>
      <c r="B186" s="1309"/>
      <c r="C186" s="1309"/>
      <c r="D186" s="1309"/>
      <c r="E186" s="1309"/>
      <c r="F186" s="1309"/>
      <c r="G186" s="1309"/>
      <c r="H186" s="1028"/>
      <c r="I186" s="1153"/>
    </row>
    <row r="187" spans="1:9" ht="12" customHeight="1">
      <c r="D187" s="446"/>
      <c r="E187" s="446"/>
      <c r="F187" s="446"/>
      <c r="I187" s="490"/>
    </row>
    <row r="188" spans="1:9">
      <c r="B188" s="1304" t="s">
        <v>445</v>
      </c>
      <c r="C188" s="1304"/>
      <c r="D188" s="1304"/>
      <c r="E188" s="1304"/>
      <c r="F188" s="1304"/>
      <c r="I188" s="490"/>
    </row>
    <row r="189" spans="1:9">
      <c r="B189" s="392" t="s">
        <v>1873</v>
      </c>
      <c r="C189" s="392"/>
      <c r="D189" s="392"/>
      <c r="E189" s="392"/>
      <c r="F189" s="392"/>
      <c r="I189" s="490"/>
    </row>
    <row r="190" spans="1:9" ht="12" customHeight="1">
      <c r="A190" s="482"/>
      <c r="B190" s="482"/>
      <c r="C190" s="482"/>
      <c r="I190" s="490"/>
    </row>
    <row r="191" spans="1:9">
      <c r="A191" s="1309" t="s">
        <v>1043</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1744</v>
      </c>
      <c r="E193" s="1318"/>
      <c r="F193" s="1318"/>
      <c r="I193" s="490"/>
    </row>
    <row r="194" spans="1:9">
      <c r="A194" s="404"/>
      <c r="B194" s="404"/>
      <c r="D194" s="1318"/>
      <c r="E194" s="1318"/>
      <c r="F194" s="1318"/>
      <c r="I194" s="490"/>
    </row>
    <row r="195" spans="1:9">
      <c r="A195" s="404"/>
      <c r="B195" s="404"/>
      <c r="D195" s="1304" t="s">
        <v>1193</v>
      </c>
      <c r="E195" s="1304"/>
      <c r="F195" s="1304"/>
      <c r="I195" s="490"/>
    </row>
    <row r="196" spans="1:9">
      <c r="A196" s="404"/>
      <c r="B196" s="404"/>
      <c r="D196" s="392"/>
      <c r="E196" s="392"/>
      <c r="F196" s="392"/>
      <c r="I196" s="490"/>
    </row>
    <row r="197" spans="1:9">
      <c r="A197" s="404"/>
      <c r="B197" s="485" t="s">
        <v>2715</v>
      </c>
      <c r="D197" s="1289" t="s">
        <v>1745</v>
      </c>
      <c r="E197" s="1289"/>
      <c r="F197" s="1289"/>
      <c r="I197" s="490"/>
    </row>
    <row r="198" spans="1:9">
      <c r="A198" s="404"/>
      <c r="B198" s="404"/>
      <c r="D198" s="1288" t="s">
        <v>1900</v>
      </c>
      <c r="E198" s="1288"/>
      <c r="F198" s="1288"/>
      <c r="I198" s="490"/>
    </row>
    <row r="199" spans="1:9">
      <c r="A199" s="404"/>
      <c r="B199" s="404"/>
      <c r="D199" s="96" t="s">
        <v>1746</v>
      </c>
      <c r="E199" s="1326" t="s">
        <v>1923</v>
      </c>
      <c r="F199" s="1326"/>
      <c r="I199" s="490"/>
    </row>
    <row r="200" spans="1:9">
      <c r="A200" s="404"/>
      <c r="B200" s="404"/>
      <c r="D200" s="3"/>
      <c r="E200" s="3"/>
      <c r="F200" s="3"/>
      <c r="I200" s="490"/>
    </row>
    <row r="201" spans="1:9">
      <c r="A201" s="404"/>
      <c r="B201" s="485" t="s">
        <v>2716</v>
      </c>
      <c r="D201" s="1288" t="s">
        <v>1747</v>
      </c>
      <c r="E201" s="1288"/>
      <c r="F201" s="1288"/>
      <c r="I201" s="490"/>
    </row>
    <row r="202" spans="1:9">
      <c r="A202" s="404"/>
      <c r="B202" s="404"/>
      <c r="D202" s="1289" t="s">
        <v>1900</v>
      </c>
      <c r="E202" s="1289"/>
      <c r="F202" s="1289"/>
      <c r="I202" s="490"/>
    </row>
    <row r="203" spans="1:9">
      <c r="A203" s="404"/>
      <c r="B203" s="404"/>
      <c r="D203" s="57" t="s">
        <v>1748</v>
      </c>
      <c r="E203" s="1326" t="s">
        <v>1924</v>
      </c>
      <c r="F203" s="1326"/>
      <c r="I203" s="490"/>
    </row>
    <row r="204" spans="1:9">
      <c r="A204" s="404"/>
      <c r="B204" s="404"/>
      <c r="D204" s="3"/>
      <c r="E204" s="3"/>
      <c r="F204" s="3"/>
      <c r="I204" s="490"/>
    </row>
    <row r="205" spans="1:9">
      <c r="A205" s="404"/>
      <c r="B205" s="485" t="s">
        <v>2716</v>
      </c>
      <c r="D205" s="1288" t="s">
        <v>1749</v>
      </c>
      <c r="E205" s="1288"/>
      <c r="F205" s="1288"/>
      <c r="I205" s="490"/>
    </row>
    <row r="206" spans="1:9">
      <c r="A206" s="404"/>
      <c r="B206" s="404"/>
      <c r="D206" s="1289" t="s">
        <v>1900</v>
      </c>
      <c r="E206" s="1289"/>
      <c r="F206" s="1289"/>
      <c r="I206" s="490"/>
    </row>
    <row r="207" spans="1:9">
      <c r="A207" s="404"/>
      <c r="B207" s="404"/>
      <c r="D207" s="57" t="s">
        <v>1746</v>
      </c>
      <c r="E207" s="1326" t="s">
        <v>1925</v>
      </c>
      <c r="F207" s="1326"/>
      <c r="I207" s="490"/>
    </row>
    <row r="208" spans="1:9">
      <c r="A208" s="404"/>
      <c r="B208" s="404"/>
      <c r="D208" s="392"/>
      <c r="E208" s="392"/>
      <c r="F208" s="392"/>
      <c r="I208" s="490"/>
    </row>
    <row r="209" spans="1:9" ht="14.25" customHeight="1">
      <c r="A209" s="484"/>
      <c r="B209" s="485" t="s">
        <v>2716</v>
      </c>
      <c r="D209" s="386" t="s">
        <v>1893</v>
      </c>
      <c r="E209" s="385"/>
      <c r="F209" s="385"/>
      <c r="I209" s="490"/>
    </row>
    <row r="210" spans="1:9" ht="14.25">
      <c r="A210" s="484"/>
      <c r="B210" s="484"/>
      <c r="D210" s="1289" t="s">
        <v>1900</v>
      </c>
      <c r="E210" s="1289"/>
      <c r="F210" s="1289"/>
      <c r="I210" s="490"/>
    </row>
    <row r="211" spans="1:9">
      <c r="D211" s="385"/>
      <c r="E211" s="1326" t="s">
        <v>1926</v>
      </c>
      <c r="F211" s="1326"/>
      <c r="I211" s="490"/>
    </row>
    <row r="212" spans="1:9">
      <c r="D212" s="447"/>
      <c r="I212" s="490"/>
    </row>
    <row r="213" spans="1:9">
      <c r="B213" s="485" t="s">
        <v>2716</v>
      </c>
      <c r="D213" s="1288" t="s">
        <v>1750</v>
      </c>
      <c r="E213" s="1288"/>
      <c r="F213" s="1288"/>
      <c r="I213" s="490"/>
    </row>
    <row r="214" spans="1:9">
      <c r="D214" s="1289" t="s">
        <v>1900</v>
      </c>
      <c r="E214" s="1289"/>
      <c r="F214" s="1289"/>
      <c r="I214" s="490"/>
    </row>
    <row r="215" spans="1:9">
      <c r="D215" s="57" t="s">
        <v>1746</v>
      </c>
      <c r="E215" s="1326" t="s">
        <v>1927</v>
      </c>
      <c r="F215" s="1326"/>
      <c r="I215" s="490"/>
    </row>
    <row r="216" spans="1:9">
      <c r="D216" s="451"/>
      <c r="E216" s="451"/>
      <c r="F216" s="451"/>
      <c r="I216" s="490"/>
    </row>
    <row r="217" spans="1:9" ht="14.25">
      <c r="A217" s="484"/>
      <c r="B217" s="485" t="s">
        <v>2716</v>
      </c>
      <c r="D217" s="1302" t="s">
        <v>1214</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1044</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1118</v>
      </c>
      <c r="E225" s="1300"/>
      <c r="F225" s="1300"/>
      <c r="I225" s="490"/>
    </row>
    <row r="226" spans="1:9" ht="12" customHeight="1">
      <c r="A226" s="490"/>
      <c r="B226" s="490"/>
      <c r="C226" s="490"/>
      <c r="I226" s="490"/>
    </row>
    <row r="227" spans="1:9" ht="13.7" customHeight="1">
      <c r="A227" s="490"/>
      <c r="C227" s="490"/>
      <c r="D227" s="1310" t="s">
        <v>545</v>
      </c>
      <c r="E227" s="1310"/>
      <c r="F227" s="1310"/>
      <c r="I227" s="490"/>
    </row>
    <row r="228" spans="1:9" ht="14.25">
      <c r="A228" s="484"/>
      <c r="B228" s="485" t="s">
        <v>2715</v>
      </c>
      <c r="D228" s="1302" t="s">
        <v>1751</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2715</v>
      </c>
      <c r="D233" s="1302" t="s">
        <v>1752</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1116</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2715</v>
      </c>
      <c r="D245" s="1302" t="s">
        <v>2051</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2716</v>
      </c>
      <c r="D250" s="1302" t="s">
        <v>2052</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2715</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2715</v>
      </c>
      <c r="D259" s="1302" t="s">
        <v>1117</v>
      </c>
      <c r="E259" s="1302"/>
      <c r="F259" s="1302"/>
      <c r="I259" s="490"/>
    </row>
    <row r="260" spans="1:9" ht="14.25">
      <c r="A260" s="484"/>
      <c r="B260" s="484"/>
      <c r="D260" s="1302"/>
      <c r="E260" s="1302"/>
      <c r="F260" s="1302"/>
      <c r="I260" s="490"/>
    </row>
    <row r="261" spans="1:9">
      <c r="D261" s="491"/>
      <c r="I261" s="490"/>
    </row>
    <row r="262" spans="1:9">
      <c r="A262" s="1309" t="s">
        <v>1045</v>
      </c>
      <c r="B262" s="1309"/>
      <c r="C262" s="1309"/>
      <c r="D262" s="1309"/>
      <c r="E262" s="1309"/>
      <c r="F262" s="1309"/>
      <c r="G262" s="1309"/>
      <c r="H262" s="1028"/>
      <c r="I262" s="1153"/>
    </row>
    <row r="263" spans="1:9">
      <c r="D263" s="491"/>
      <c r="I263" s="490"/>
    </row>
    <row r="264" spans="1:9">
      <c r="C264" s="486"/>
      <c r="D264" s="1310" t="s">
        <v>1119</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2715</v>
      </c>
      <c r="D267" s="1302" t="s">
        <v>1194</v>
      </c>
      <c r="E267" s="1302"/>
      <c r="F267" s="1302"/>
      <c r="I267" s="490"/>
    </row>
    <row r="268" spans="1:9">
      <c r="D268" s="1302"/>
      <c r="E268" s="1302"/>
      <c r="F268" s="1302"/>
      <c r="I268" s="490"/>
    </row>
    <row r="269" spans="1:9">
      <c r="E269" s="1036" t="s">
        <v>1896</v>
      </c>
      <c r="I269" s="490"/>
    </row>
    <row r="270" spans="1:9">
      <c r="D270" s="446"/>
      <c r="E270" s="446"/>
      <c r="F270" s="446"/>
      <c r="I270" s="490"/>
    </row>
    <row r="271" spans="1:9" ht="14.45" customHeight="1">
      <c r="A271" s="484"/>
      <c r="B271" s="485" t="s">
        <v>2716</v>
      </c>
      <c r="D271" s="1302" t="s">
        <v>2054</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2716</v>
      </c>
      <c r="D278" s="1302" t="s">
        <v>1120</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1046</v>
      </c>
      <c r="B282" s="1309"/>
      <c r="C282" s="1309"/>
      <c r="D282" s="1309"/>
      <c r="E282" s="1309"/>
      <c r="F282" s="1309"/>
      <c r="G282" s="1309"/>
      <c r="H282" s="1028"/>
      <c r="I282" s="1153"/>
    </row>
    <row r="283" spans="1:9">
      <c r="D283" s="492"/>
      <c r="E283" s="446"/>
      <c r="F283" s="446"/>
      <c r="I283" s="490"/>
    </row>
    <row r="284" spans="1:9">
      <c r="C284" s="482"/>
      <c r="D284" s="1318" t="s">
        <v>1121</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1122</v>
      </c>
      <c r="E288" s="1327"/>
      <c r="F288" s="1327"/>
      <c r="I288" s="490"/>
    </row>
    <row r="289" spans="1:9">
      <c r="E289" s="446"/>
      <c r="F289" s="446"/>
      <c r="I289" s="490"/>
    </row>
    <row r="290" spans="1:9" ht="14.25">
      <c r="A290" s="484"/>
      <c r="B290" s="485" t="s">
        <v>2716</v>
      </c>
      <c r="D290" s="1302" t="s">
        <v>1123</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2716</v>
      </c>
      <c r="D293" s="1302" t="s">
        <v>1124</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2716</v>
      </c>
      <c r="D297" s="1302" t="s">
        <v>1125</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1047</v>
      </c>
      <c r="B300" s="1309"/>
      <c r="C300" s="1309"/>
      <c r="D300" s="1309"/>
      <c r="E300" s="1309"/>
      <c r="F300" s="1309"/>
      <c r="G300" s="1309"/>
      <c r="H300" s="1028"/>
      <c r="I300" s="1153"/>
    </row>
    <row r="301" spans="1:9">
      <c r="A301" s="490"/>
      <c r="B301" s="490"/>
      <c r="D301" s="446"/>
      <c r="E301" s="446"/>
      <c r="F301" s="446"/>
      <c r="I301" s="490"/>
    </row>
    <row r="302" spans="1:9">
      <c r="C302" s="490"/>
      <c r="D302" s="1310" t="s">
        <v>681</v>
      </c>
      <c r="E302" s="1310"/>
      <c r="F302" s="1310"/>
      <c r="I302" s="490"/>
    </row>
    <row r="303" spans="1:9">
      <c r="C303" s="490"/>
      <c r="D303" s="1300" t="s">
        <v>1126</v>
      </c>
      <c r="E303" s="1300"/>
      <c r="F303" s="1300"/>
      <c r="I303" s="490"/>
    </row>
    <row r="304" spans="1:9">
      <c r="C304" s="490"/>
      <c r="D304" s="493"/>
      <c r="I304" s="490"/>
    </row>
    <row r="305" spans="1:9">
      <c r="B305" s="485" t="s">
        <v>2716</v>
      </c>
      <c r="D305" s="1300" t="s">
        <v>1127</v>
      </c>
      <c r="E305" s="1300"/>
      <c r="F305" s="1300"/>
      <c r="I305" s="490"/>
    </row>
    <row r="306" spans="1:9" ht="14.25">
      <c r="A306" s="484"/>
      <c r="B306" s="484"/>
      <c r="D306" s="494"/>
      <c r="E306" s="495"/>
      <c r="F306" s="495"/>
      <c r="I306" s="490"/>
    </row>
    <row r="307" spans="1:9" ht="13.7" customHeight="1">
      <c r="B307" s="485" t="s">
        <v>2716</v>
      </c>
      <c r="D307" s="1311" t="s">
        <v>1217</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2716</v>
      </c>
      <c r="D313" s="1311" t="s">
        <v>1128</v>
      </c>
      <c r="E313" s="1311"/>
      <c r="F313" s="1311"/>
      <c r="I313" s="490"/>
    </row>
    <row r="314" spans="1:9">
      <c r="D314" s="1311"/>
      <c r="E314" s="1311"/>
      <c r="F314" s="1311"/>
      <c r="I314" s="490"/>
    </row>
    <row r="315" spans="1:9" ht="14.25">
      <c r="A315" s="484"/>
      <c r="B315" s="484"/>
      <c r="D315" s="494"/>
      <c r="E315" s="495"/>
      <c r="F315" s="495"/>
      <c r="I315" s="490"/>
    </row>
    <row r="316" spans="1:9">
      <c r="B316" s="485" t="s">
        <v>2716</v>
      </c>
      <c r="D316" s="1300" t="s">
        <v>1129</v>
      </c>
      <c r="E316" s="1300"/>
      <c r="F316" s="1300"/>
      <c r="I316" s="490"/>
    </row>
    <row r="317" spans="1:9">
      <c r="E317" s="446"/>
      <c r="F317" s="446"/>
      <c r="I317" s="490"/>
    </row>
    <row r="318" spans="1:9" ht="14.25">
      <c r="A318" s="484"/>
      <c r="B318" s="485" t="s">
        <v>2716</v>
      </c>
      <c r="D318" s="1302" t="s">
        <v>2244</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2716</v>
      </c>
      <c r="D334" s="1302" t="s">
        <v>1130</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2716</v>
      </c>
      <c r="D344" s="1302" t="s">
        <v>1901</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0" t="s">
        <v>977</v>
      </c>
      <c r="E351" s="1330"/>
      <c r="F351" s="1330"/>
      <c r="G351" s="1027"/>
      <c r="H351" s="1027"/>
      <c r="I351" s="1156"/>
    </row>
    <row r="352" spans="1:9" ht="13.5" thickTop="1">
      <c r="D352" s="1329" t="s">
        <v>2245</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2716</v>
      </c>
      <c r="C355" s="487"/>
      <c r="D355" s="1300" t="s">
        <v>1899</v>
      </c>
      <c r="E355" s="1300"/>
      <c r="F355" s="1300"/>
      <c r="I355" s="490"/>
    </row>
    <row r="356" spans="1:9" ht="12.75" customHeight="1">
      <c r="D356" s="1037"/>
      <c r="E356" s="96" t="s">
        <v>1898</v>
      </c>
      <c r="F356" s="1037"/>
      <c r="I356" s="490"/>
    </row>
    <row r="357" spans="1:9">
      <c r="D357" s="1302" t="s">
        <v>1237</v>
      </c>
      <c r="E357" s="1302"/>
      <c r="F357" s="1302"/>
      <c r="I357" s="490"/>
    </row>
    <row r="358" spans="1:9">
      <c r="D358" s="1302"/>
      <c r="E358" s="1302"/>
      <c r="F358" s="1302"/>
      <c r="I358" s="490"/>
    </row>
    <row r="359" spans="1:9">
      <c r="D359" s="1302"/>
      <c r="E359" s="1302"/>
      <c r="F359" s="1302"/>
      <c r="I359" s="490"/>
    </row>
    <row r="360" spans="1:9" ht="14.25">
      <c r="A360" s="484"/>
      <c r="B360" s="485" t="s">
        <v>2716</v>
      </c>
      <c r="C360" s="476"/>
      <c r="D360" s="1319" t="s">
        <v>2055</v>
      </c>
      <c r="E360" s="1319"/>
      <c r="F360" s="1319"/>
      <c r="I360" s="480"/>
    </row>
    <row r="361" spans="1:9">
      <c r="A361" s="476"/>
      <c r="B361" s="476"/>
      <c r="C361" s="476"/>
      <c r="D361" s="447"/>
      <c r="E361" s="447"/>
      <c r="F361" s="446"/>
      <c r="I361" s="490"/>
    </row>
    <row r="362" spans="1:9">
      <c r="A362" s="476"/>
      <c r="B362" s="485" t="s">
        <v>2716</v>
      </c>
      <c r="C362" s="476"/>
      <c r="D362" s="1273" t="s">
        <v>2056</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2716</v>
      </c>
      <c r="C375" s="476"/>
      <c r="D375" s="1281" t="s">
        <v>1219</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2716</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2716</v>
      </c>
      <c r="C387" s="476"/>
      <c r="D387" s="1273" t="s">
        <v>1131</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1132</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1133</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2716</v>
      </c>
      <c r="C420" s="476"/>
      <c r="D420" s="1273" t="s">
        <v>1134</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2716</v>
      </c>
      <c r="D423" s="1273" t="s">
        <v>1880</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2716</v>
      </c>
      <c r="C429" s="476"/>
      <c r="D429" s="1273" t="s">
        <v>1238</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2072</v>
      </c>
      <c r="E433" s="1273"/>
      <c r="F433" s="1273"/>
      <c r="I433" s="490"/>
    </row>
    <row r="434" spans="1:9">
      <c r="D434" s="446"/>
      <c r="E434" s="446"/>
      <c r="F434" s="446"/>
      <c r="I434" s="490"/>
    </row>
    <row r="435" spans="1:9" ht="14.25">
      <c r="A435" s="484"/>
      <c r="B435" s="485" t="s">
        <v>2716</v>
      </c>
      <c r="C435" s="487"/>
      <c r="D435" s="1302" t="s">
        <v>2057</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2716</v>
      </c>
      <c r="C467" s="487"/>
      <c r="D467" s="1302" t="s">
        <v>1135</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2716</v>
      </c>
      <c r="C471" s="484"/>
      <c r="D471" s="1302" t="s">
        <v>1195</v>
      </c>
      <c r="E471" s="1302"/>
      <c r="F471" s="1302"/>
      <c r="I471" s="490"/>
    </row>
    <row r="472" spans="1:9">
      <c r="D472" s="1302"/>
      <c r="E472" s="1302"/>
      <c r="F472" s="1302"/>
      <c r="I472" s="490"/>
    </row>
    <row r="473" spans="1:9">
      <c r="D473" s="446"/>
      <c r="E473" s="446"/>
      <c r="F473" s="446"/>
      <c r="I473" s="490"/>
    </row>
    <row r="474" spans="1:9" ht="14.25">
      <c r="B474" s="485" t="s">
        <v>2716</v>
      </c>
      <c r="C474" s="484"/>
      <c r="D474" s="1302" t="s">
        <v>1136</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2716</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2716</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2716</v>
      </c>
      <c r="C486" s="402"/>
      <c r="D486" s="1302"/>
      <c r="E486" s="1302"/>
      <c r="F486" s="1302"/>
      <c r="I486" s="490"/>
    </row>
    <row r="487" spans="1:9">
      <c r="A487" s="402"/>
      <c r="C487" s="402"/>
      <c r="D487" s="1302"/>
      <c r="E487" s="1302"/>
      <c r="F487" s="1302"/>
      <c r="I487" s="490"/>
    </row>
    <row r="488" spans="1:9">
      <c r="A488" s="402"/>
      <c r="B488" s="485" t="s">
        <v>2716</v>
      </c>
      <c r="C488" s="402"/>
      <c r="D488" s="1302" t="s">
        <v>1137</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2716</v>
      </c>
      <c r="D494" s="1300" t="s">
        <v>1138</v>
      </c>
      <c r="E494" s="1300"/>
      <c r="F494" s="1300"/>
      <c r="I494" s="490"/>
    </row>
    <row r="495" spans="1:9">
      <c r="A495" s="446"/>
      <c r="B495" s="446"/>
      <c r="I495" s="490"/>
    </row>
    <row r="496" spans="1:9">
      <c r="A496" s="1309" t="s">
        <v>1048</v>
      </c>
      <c r="B496" s="1309"/>
      <c r="C496" s="1309"/>
      <c r="D496" s="1309"/>
      <c r="E496" s="1309"/>
      <c r="F496" s="1309"/>
      <c r="G496" s="1309"/>
      <c r="H496" s="1028"/>
      <c r="I496" s="1153"/>
    </row>
    <row r="497" spans="1:9">
      <c r="A497" s="446"/>
      <c r="B497" s="446"/>
      <c r="I497" s="490"/>
    </row>
    <row r="498" spans="1:9">
      <c r="D498" s="1328" t="s">
        <v>882</v>
      </c>
      <c r="E498" s="1328"/>
      <c r="F498" s="1328"/>
      <c r="I498" s="490"/>
    </row>
    <row r="499" spans="1:9" ht="14.25">
      <c r="A499" s="484"/>
      <c r="B499" s="484"/>
      <c r="D499" s="1319" t="s">
        <v>1139</v>
      </c>
      <c r="E499" s="1319"/>
      <c r="F499" s="1319"/>
      <c r="I499" s="490"/>
    </row>
    <row r="500" spans="1:9" ht="14.25">
      <c r="A500" s="484"/>
      <c r="B500" s="484"/>
      <c r="D500" s="447"/>
      <c r="I500" s="490"/>
    </row>
    <row r="501" spans="1:9" ht="14.25">
      <c r="A501" s="484"/>
      <c r="B501" s="485" t="s">
        <v>2716</v>
      </c>
      <c r="D501" s="1273" t="s">
        <v>1140</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2716</v>
      </c>
      <c r="D504" s="1314" t="s">
        <v>1271</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2716</v>
      </c>
      <c r="D509" s="1300" t="s">
        <v>1141</v>
      </c>
      <c r="E509" s="1300"/>
      <c r="F509" s="1300"/>
      <c r="I509" s="490"/>
    </row>
    <row r="510" spans="1:9" ht="14.25">
      <c r="A510" s="484"/>
      <c r="B510" s="484"/>
      <c r="D510" s="446"/>
      <c r="I510" s="490"/>
    </row>
    <row r="511" spans="1:9" ht="14.25">
      <c r="A511" s="484"/>
      <c r="B511" s="485" t="s">
        <v>2716</v>
      </c>
      <c r="D511" s="1302" t="s">
        <v>1142</v>
      </c>
      <c r="E511" s="1302"/>
      <c r="F511" s="1302"/>
      <c r="I511" s="490"/>
    </row>
    <row r="512" spans="1:9" ht="14.25">
      <c r="A512" s="484"/>
      <c r="D512" s="1302"/>
      <c r="E512" s="1302"/>
      <c r="F512" s="1302"/>
      <c r="I512" s="490"/>
    </row>
    <row r="513" spans="1:9">
      <c r="A513" s="490"/>
      <c r="B513" s="490"/>
      <c r="D513" s="447"/>
      <c r="I513" s="490"/>
    </row>
    <row r="514" spans="1:9">
      <c r="A514" s="490"/>
      <c r="B514" s="485" t="s">
        <v>2716</v>
      </c>
      <c r="D514" s="1300" t="s">
        <v>1143</v>
      </c>
      <c r="E514" s="1300"/>
      <c r="F514" s="1300"/>
      <c r="I514" s="490"/>
    </row>
    <row r="515" spans="1:9">
      <c r="D515" s="446"/>
      <c r="E515" s="446"/>
      <c r="F515" s="446"/>
      <c r="I515" s="490"/>
    </row>
    <row r="516" spans="1:9">
      <c r="B516" s="485" t="s">
        <v>2716</v>
      </c>
      <c r="D516" s="1302" t="s">
        <v>2279</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1049</v>
      </c>
      <c r="B521" s="1309"/>
      <c r="C521" s="1309"/>
      <c r="D521" s="1309"/>
      <c r="E521" s="1309"/>
      <c r="F521" s="1309"/>
      <c r="G521" s="1309"/>
      <c r="H521" s="1028"/>
      <c r="I521" s="1153"/>
    </row>
    <row r="522" spans="1:9" ht="12" customHeight="1">
      <c r="A522" s="484"/>
      <c r="B522" s="484"/>
      <c r="D522" s="446"/>
      <c r="I522" s="490"/>
    </row>
    <row r="523" spans="1:9">
      <c r="C523" s="482"/>
      <c r="D523" s="1310" t="s">
        <v>792</v>
      </c>
      <c r="E523" s="1310"/>
      <c r="F523" s="1310"/>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2715</v>
      </c>
      <c r="C527" s="483"/>
      <c r="D527" s="1273" t="s">
        <v>2058</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2716</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2716</v>
      </c>
      <c r="C536" s="483"/>
      <c r="D536" s="1302" t="s">
        <v>2060</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1050</v>
      </c>
      <c r="B539" s="1309"/>
      <c r="C539" s="1309"/>
      <c r="D539" s="1309"/>
      <c r="E539" s="1309"/>
      <c r="F539" s="1309"/>
      <c r="G539" s="1309"/>
      <c r="H539" s="1028"/>
      <c r="I539" s="1153"/>
    </row>
    <row r="540" spans="1:9">
      <c r="A540" s="446"/>
      <c r="B540" s="446"/>
      <c r="C540" s="487"/>
      <c r="F540" s="448"/>
      <c r="I540" s="490"/>
    </row>
    <row r="541" spans="1:9">
      <c r="B541" s="1304" t="s">
        <v>445</v>
      </c>
      <c r="C541" s="1304"/>
      <c r="D541" s="1304"/>
      <c r="E541" s="1304"/>
      <c r="F541" s="1304"/>
      <c r="I541" s="490"/>
    </row>
    <row r="542" spans="1:9">
      <c r="A542" s="446"/>
      <c r="B542" s="446"/>
      <c r="C542" s="487"/>
      <c r="D542" s="446"/>
      <c r="F542" s="446"/>
      <c r="I542" s="490"/>
    </row>
    <row r="543" spans="1:9">
      <c r="A543" s="1301" t="s">
        <v>1051</v>
      </c>
      <c r="B543" s="1301"/>
      <c r="C543" s="1301"/>
      <c r="D543" s="1301"/>
      <c r="E543" s="1301"/>
      <c r="F543" s="1301"/>
      <c r="G543" s="1301"/>
      <c r="H543" s="1028"/>
      <c r="I543" s="1153"/>
    </row>
    <row r="544" spans="1:9">
      <c r="A544" s="446"/>
      <c r="B544" s="446"/>
      <c r="C544" s="487"/>
      <c r="D544" s="446"/>
      <c r="F544" s="446"/>
      <c r="I544" s="490"/>
    </row>
    <row r="545" spans="1:9">
      <c r="C545" s="487"/>
      <c r="D545" s="1310" t="s">
        <v>682</v>
      </c>
      <c r="E545" s="1310"/>
      <c r="F545" s="1310"/>
      <c r="I545" s="490"/>
    </row>
    <row r="546" spans="1:9">
      <c r="C546" s="487"/>
      <c r="D546" s="1300" t="s">
        <v>1079</v>
      </c>
      <c r="E546" s="1300"/>
      <c r="F546" s="1300"/>
      <c r="I546" s="490"/>
    </row>
    <row r="547" spans="1:9">
      <c r="C547" s="487"/>
      <c r="D547" s="446"/>
      <c r="E547" s="446"/>
      <c r="F547" s="446"/>
      <c r="I547" s="490"/>
    </row>
    <row r="548" spans="1:9" ht="13.7" customHeight="1">
      <c r="A548" s="484"/>
      <c r="B548" s="485" t="s">
        <v>2715</v>
      </c>
      <c r="C548" s="487"/>
      <c r="D548" s="1300" t="s">
        <v>883</v>
      </c>
      <c r="E548" s="1300"/>
      <c r="F548" s="1300"/>
      <c r="I548" s="490"/>
    </row>
    <row r="549" spans="1:9" ht="13.7" customHeight="1">
      <c r="A549" s="487"/>
      <c r="B549" s="487"/>
      <c r="C549" s="487"/>
      <c r="D549" s="446"/>
      <c r="I549" s="490"/>
    </row>
    <row r="550" spans="1:9" ht="14.25">
      <c r="A550" s="484"/>
      <c r="B550" s="485" t="s">
        <v>2715</v>
      </c>
      <c r="C550" s="487"/>
      <c r="D550" s="1302" t="s">
        <v>1080</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2715</v>
      </c>
      <c r="C553" s="487"/>
      <c r="D553" s="1302" t="s">
        <v>1081</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2715</v>
      </c>
      <c r="C556" s="487"/>
      <c r="D556" s="1302" t="s">
        <v>1082</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2715</v>
      </c>
      <c r="C559" s="487"/>
      <c r="D559" s="1302" t="s">
        <v>1083</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2716</v>
      </c>
      <c r="C563" s="487"/>
      <c r="D563" s="1302" t="s">
        <v>2246</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2715</v>
      </c>
      <c r="C566" s="487"/>
      <c r="D566" s="1302" t="s">
        <v>1084</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2715</v>
      </c>
      <c r="C569" s="487"/>
      <c r="D569" s="1300" t="s">
        <v>1085</v>
      </c>
      <c r="E569" s="1300"/>
      <c r="F569" s="1300"/>
      <c r="I569" s="490"/>
    </row>
    <row r="570" spans="1:9">
      <c r="A570" s="490"/>
      <c r="B570" s="490"/>
      <c r="C570" s="487"/>
      <c r="D570" s="1300" t="s">
        <v>1905</v>
      </c>
      <c r="E570" s="1300"/>
      <c r="F570" s="1300"/>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2715</v>
      </c>
      <c r="C573" s="487"/>
      <c r="D573" s="1300" t="s">
        <v>1086</v>
      </c>
      <c r="E573" s="1300"/>
      <c r="F573" s="1300"/>
      <c r="I573" s="490"/>
    </row>
    <row r="574" spans="1:9">
      <c r="C574" s="487"/>
      <c r="D574" s="1302" t="s">
        <v>1087</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2715</v>
      </c>
      <c r="C578" s="487"/>
      <c r="D578" s="1302" t="s">
        <v>2061</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1052</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1065</v>
      </c>
      <c r="E586" s="1314"/>
      <c r="F586" s="1314"/>
      <c r="I586" s="490"/>
    </row>
    <row r="587" spans="1:9">
      <c r="A587" s="402"/>
      <c r="B587" s="402"/>
      <c r="C587" s="483"/>
      <c r="D587" s="499"/>
      <c r="I587" s="490"/>
    </row>
    <row r="588" spans="1:9">
      <c r="A588" s="483"/>
      <c r="B588" s="485" t="s">
        <v>2715</v>
      </c>
      <c r="D588" s="1314" t="s">
        <v>887</v>
      </c>
      <c r="E588" s="1314"/>
      <c r="F588" s="1314"/>
      <c r="I588" s="490"/>
    </row>
    <row r="589" spans="1:9">
      <c r="A589" s="490"/>
      <c r="B589" s="490"/>
      <c r="D589" s="476"/>
      <c r="I589" s="490"/>
    </row>
    <row r="590" spans="1:9">
      <c r="A590" s="490"/>
      <c r="B590" s="485" t="s">
        <v>2715</v>
      </c>
      <c r="D590" s="1314" t="s">
        <v>2062</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2716</v>
      </c>
      <c r="D594" s="1314" t="s">
        <v>1066</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2715</v>
      </c>
      <c r="D599" s="1314" t="s">
        <v>2063</v>
      </c>
      <c r="E599" s="1314"/>
      <c r="F599" s="1314"/>
      <c r="I599" s="490"/>
    </row>
    <row r="600" spans="1:9">
      <c r="A600" s="490"/>
      <c r="B600" s="490"/>
      <c r="D600" s="1314"/>
      <c r="E600" s="1314"/>
      <c r="F600" s="1314"/>
      <c r="I600" s="490"/>
    </row>
    <row r="601" spans="1:9">
      <c r="A601" s="490"/>
      <c r="B601" s="490"/>
      <c r="D601" s="499"/>
      <c r="I601" s="490"/>
    </row>
    <row r="602" spans="1:9">
      <c r="A602" s="490"/>
      <c r="B602" s="485" t="s">
        <v>2716</v>
      </c>
      <c r="D602" s="1314" t="s">
        <v>1067</v>
      </c>
      <c r="E602" s="1314"/>
      <c r="F602" s="1314"/>
      <c r="I602" s="490"/>
    </row>
    <row r="603" spans="1:9">
      <c r="A603" s="490"/>
      <c r="B603" s="490"/>
      <c r="D603" s="1314"/>
      <c r="E603" s="1314"/>
      <c r="F603" s="1314"/>
      <c r="I603" s="490"/>
    </row>
    <row r="604" spans="1:9" ht="14.25">
      <c r="A604" s="484"/>
      <c r="B604" s="484"/>
      <c r="D604" s="499"/>
      <c r="I604" s="490"/>
    </row>
    <row r="605" spans="1:9">
      <c r="A605" s="1309" t="s">
        <v>1053</v>
      </c>
      <c r="B605" s="1309"/>
      <c r="C605" s="1309"/>
      <c r="D605" s="1309"/>
      <c r="E605" s="1309"/>
      <c r="F605" s="1309"/>
      <c r="G605" s="1309"/>
      <c r="H605" s="1028"/>
      <c r="I605" s="1153"/>
    </row>
    <row r="606" spans="1:9">
      <c r="I606" s="490"/>
    </row>
    <row r="607" spans="1:9">
      <c r="D607" s="1310" t="s">
        <v>1105</v>
      </c>
      <c r="E607" s="1310"/>
      <c r="F607" s="1310"/>
      <c r="I607" s="490"/>
    </row>
    <row r="608" spans="1:9">
      <c r="D608" s="1282" t="s">
        <v>1106</v>
      </c>
      <c r="E608" s="1282"/>
      <c r="F608" s="1282"/>
      <c r="I608" s="490"/>
    </row>
    <row r="609" spans="1:9">
      <c r="D609" s="444"/>
      <c r="I609" s="490"/>
    </row>
    <row r="610" spans="1:9" ht="14.25" customHeight="1">
      <c r="A610" s="484"/>
      <c r="B610" s="485" t="s">
        <v>2715</v>
      </c>
      <c r="D610" s="1315" t="s">
        <v>1906</v>
      </c>
      <c r="E610" s="1315"/>
      <c r="F610" s="1315"/>
      <c r="I610" s="490"/>
    </row>
    <row r="611" spans="1:9">
      <c r="D611" s="1315"/>
      <c r="E611" s="1315"/>
      <c r="F611" s="1315"/>
      <c r="I611" s="490"/>
    </row>
    <row r="612" spans="1:9">
      <c r="D612" s="385"/>
      <c r="E612" s="1036" t="s">
        <v>1907</v>
      </c>
      <c r="F612" s="385"/>
      <c r="I612" s="490"/>
    </row>
    <row r="613" spans="1:9">
      <c r="I613" s="490"/>
    </row>
    <row r="614" spans="1:9">
      <c r="A614" s="1309" t="s">
        <v>1054</v>
      </c>
      <c r="B614" s="1309"/>
      <c r="C614" s="1309"/>
      <c r="D614" s="1309"/>
      <c r="E614" s="1309"/>
      <c r="F614" s="1309"/>
      <c r="G614" s="1309"/>
      <c r="H614" s="1028"/>
      <c r="I614" s="1153"/>
    </row>
    <row r="615" spans="1:9">
      <c r="A615" s="446"/>
      <c r="B615" s="446"/>
      <c r="I615" s="490"/>
    </row>
    <row r="616" spans="1:9">
      <c r="A616" s="482"/>
      <c r="B616" s="482"/>
      <c r="C616" s="482"/>
      <c r="D616" s="1299" t="s">
        <v>1107</v>
      </c>
      <c r="E616" s="1299"/>
      <c r="F616" s="1299"/>
      <c r="I616" s="490"/>
    </row>
    <row r="617" spans="1:9">
      <c r="A617" s="482"/>
      <c r="B617" s="482"/>
      <c r="C617" s="482"/>
      <c r="D617" s="1299"/>
      <c r="E617" s="1299"/>
      <c r="F617" s="1299"/>
      <c r="I617" s="490"/>
    </row>
    <row r="618" spans="1:9">
      <c r="C618" s="483"/>
      <c r="D618" s="1282" t="s">
        <v>1108</v>
      </c>
      <c r="E618" s="1282"/>
      <c r="F618" s="1282"/>
      <c r="I618" s="490"/>
    </row>
    <row r="619" spans="1:9">
      <c r="C619" s="483"/>
      <c r="D619" s="444"/>
      <c r="E619" s="444"/>
      <c r="F619" s="444"/>
      <c r="I619" s="490"/>
    </row>
    <row r="620" spans="1:9" ht="12.75" customHeight="1">
      <c r="A620" s="490"/>
      <c r="B620" s="485" t="s">
        <v>2715</v>
      </c>
      <c r="D620" s="1308" t="s">
        <v>1109</v>
      </c>
      <c r="E620" s="1308"/>
      <c r="F620" s="1308"/>
      <c r="I620" s="490"/>
    </row>
    <row r="621" spans="1:9">
      <c r="D621" s="1308"/>
      <c r="E621" s="1308"/>
      <c r="F621" s="1308"/>
      <c r="I621" s="490"/>
    </row>
    <row r="622" spans="1:9">
      <c r="I622" s="490"/>
    </row>
    <row r="623" spans="1:9">
      <c r="B623" s="485" t="s">
        <v>2715</v>
      </c>
      <c r="D623" s="1308" t="s">
        <v>1110</v>
      </c>
      <c r="E623" s="1308"/>
      <c r="F623" s="1308"/>
      <c r="I623" s="490"/>
    </row>
    <row r="624" spans="1:9">
      <c r="C624" s="500"/>
      <c r="D624" s="1308"/>
      <c r="E624" s="1308"/>
      <c r="F624" s="1308"/>
      <c r="I624" s="490"/>
    </row>
    <row r="625" spans="1:9">
      <c r="C625" s="500"/>
      <c r="I625" s="490"/>
    </row>
    <row r="626" spans="1:9">
      <c r="B626" s="485" t="s">
        <v>2716</v>
      </c>
      <c r="C626" s="500"/>
      <c r="D626" s="1308" t="s">
        <v>1111</v>
      </c>
      <c r="E626" s="1308"/>
      <c r="F626" s="1308"/>
      <c r="I626" s="490"/>
    </row>
    <row r="627" spans="1:9">
      <c r="C627" s="500"/>
      <c r="D627" s="1308"/>
      <c r="E627" s="1308"/>
      <c r="F627" s="1308"/>
      <c r="I627" s="500"/>
    </row>
    <row r="628" spans="1:9">
      <c r="C628" s="500"/>
      <c r="I628" s="490"/>
    </row>
    <row r="629" spans="1:9">
      <c r="A629" s="1309" t="s">
        <v>1055</v>
      </c>
      <c r="B629" s="1309"/>
      <c r="C629" s="1309"/>
      <c r="D629" s="1309"/>
      <c r="E629" s="1309"/>
      <c r="F629" s="1309"/>
      <c r="G629" s="1309"/>
      <c r="H629" s="1028"/>
      <c r="I629" s="1153"/>
    </row>
    <row r="630" spans="1:9">
      <c r="A630" s="482"/>
      <c r="B630" s="482"/>
      <c r="C630" s="482"/>
      <c r="I630" s="490"/>
    </row>
    <row r="631" spans="1:9">
      <c r="C631" s="490"/>
      <c r="D631" s="1310" t="s">
        <v>1112</v>
      </c>
      <c r="E631" s="1310"/>
      <c r="F631" s="1310"/>
      <c r="I631" s="490"/>
    </row>
    <row r="632" spans="1:9">
      <c r="A632" s="490"/>
      <c r="B632" s="490"/>
      <c r="D632" s="404"/>
      <c r="I632" s="490"/>
    </row>
    <row r="633" spans="1:9" ht="14.25" customHeight="1">
      <c r="A633" s="484"/>
      <c r="B633" s="485" t="s">
        <v>2715</v>
      </c>
      <c r="D633" s="1315" t="s">
        <v>2064</v>
      </c>
      <c r="E633" s="1315"/>
      <c r="F633" s="1315"/>
      <c r="I633" s="490"/>
    </row>
    <row r="634" spans="1:9">
      <c r="D634" s="1315"/>
      <c r="E634" s="1315"/>
      <c r="F634" s="1315"/>
      <c r="I634" s="490"/>
    </row>
    <row r="635" spans="1:9">
      <c r="D635" s="385"/>
      <c r="E635" s="1036" t="s">
        <v>1909</v>
      </c>
      <c r="F635" s="385"/>
      <c r="I635" s="490"/>
    </row>
    <row r="636" spans="1:9">
      <c r="D636" s="1302" t="s">
        <v>1908</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2716</v>
      </c>
      <c r="D640" s="1302" t="s">
        <v>1113</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2716</v>
      </c>
      <c r="C643" s="487"/>
      <c r="D643" s="1302" t="s">
        <v>1223</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2716</v>
      </c>
      <c r="C646" s="487"/>
      <c r="D646" s="1300" t="s">
        <v>1114</v>
      </c>
      <c r="E646" s="1300"/>
      <c r="F646" s="1300"/>
      <c r="I646" s="490"/>
    </row>
    <row r="647" spans="1:9">
      <c r="A647" s="487"/>
      <c r="B647" s="487"/>
      <c r="C647" s="487"/>
      <c r="D647" s="446"/>
      <c r="E647" s="446"/>
      <c r="F647" s="446"/>
      <c r="I647" s="490"/>
    </row>
    <row r="648" spans="1:9">
      <c r="A648" s="1309" t="s">
        <v>1056</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1144</v>
      </c>
      <c r="E650" s="1310"/>
      <c r="F650" s="1310"/>
      <c r="I650" s="490"/>
    </row>
    <row r="651" spans="1:9">
      <c r="A651" s="483"/>
      <c r="B651" s="483"/>
      <c r="C651" s="483"/>
      <c r="D651" s="1300" t="s">
        <v>1145</v>
      </c>
      <c r="E651" s="1300"/>
      <c r="F651" s="1300"/>
      <c r="I651" s="490"/>
    </row>
    <row r="652" spans="1:9">
      <c r="A652" s="483"/>
      <c r="B652" s="483"/>
      <c r="C652" s="483"/>
      <c r="D652" s="446"/>
      <c r="E652" s="446"/>
      <c r="F652" s="446"/>
      <c r="I652" s="490"/>
    </row>
    <row r="653" spans="1:9" ht="12.75" customHeight="1">
      <c r="B653" s="485" t="s">
        <v>2716</v>
      </c>
      <c r="C653" s="487"/>
      <c r="D653" s="1302" t="s">
        <v>1279</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2716</v>
      </c>
      <c r="C658" s="487"/>
      <c r="D658" s="1302" t="s">
        <v>1281</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2716</v>
      </c>
      <c r="C664" s="487"/>
      <c r="D664" s="1302" t="s">
        <v>1280</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2716</v>
      </c>
      <c r="C669" s="487"/>
      <c r="D669" s="1302" t="s">
        <v>2065</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1057</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1074</v>
      </c>
      <c r="E683" s="1300"/>
      <c r="F683" s="1300"/>
      <c r="H683" s="501"/>
      <c r="I683" s="483"/>
      <c r="J683" s="501"/>
      <c r="K683" s="501"/>
    </row>
    <row r="684" spans="1:11">
      <c r="A684" s="483"/>
      <c r="B684" s="483"/>
      <c r="C684" s="483"/>
      <c r="H684" s="501"/>
      <c r="I684" s="483"/>
      <c r="J684" s="501"/>
      <c r="K684" s="501"/>
    </row>
    <row r="685" spans="1:11" ht="14.25">
      <c r="A685" s="484"/>
      <c r="B685" s="485" t="s">
        <v>2716</v>
      </c>
      <c r="C685" s="483"/>
      <c r="D685" s="1300" t="s">
        <v>884</v>
      </c>
      <c r="E685" s="1300"/>
      <c r="F685" s="1300"/>
      <c r="H685" s="501"/>
      <c r="I685" s="483"/>
      <c r="J685" s="501"/>
      <c r="K685" s="501"/>
    </row>
    <row r="686" spans="1:11">
      <c r="A686" s="483"/>
      <c r="B686" s="483"/>
      <c r="C686" s="483"/>
      <c r="D686" s="1300" t="s">
        <v>893</v>
      </c>
      <c r="E686" s="1300"/>
      <c r="F686" s="1300"/>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2716</v>
      </c>
      <c r="C690" s="483"/>
      <c r="D690" s="1302" t="s">
        <v>2066</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2715</v>
      </c>
      <c r="C694" s="483"/>
      <c r="D694" s="1300" t="s">
        <v>916</v>
      </c>
      <c r="E694" s="1300"/>
      <c r="F694" s="1300"/>
      <c r="H694" s="501"/>
      <c r="I694" s="483"/>
      <c r="J694" s="501"/>
      <c r="K694" s="501"/>
    </row>
    <row r="695" spans="1:11" ht="14.25">
      <c r="A695" s="484"/>
      <c r="B695" s="484"/>
      <c r="C695" s="483"/>
      <c r="D695" s="1300" t="s">
        <v>893</v>
      </c>
      <c r="E695" s="1300"/>
      <c r="F695" s="1300"/>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2716</v>
      </c>
      <c r="C698" s="483"/>
      <c r="D698" s="1300" t="s">
        <v>2468</v>
      </c>
      <c r="E698" s="1300"/>
      <c r="F698" s="1300"/>
      <c r="H698" s="501"/>
      <c r="I698" s="483"/>
      <c r="J698" s="501"/>
      <c r="K698" s="501"/>
    </row>
    <row r="699" spans="1:11" ht="14.25">
      <c r="A699" s="484"/>
      <c r="B699" s="484"/>
      <c r="C699" s="483"/>
      <c r="D699" s="1300" t="s">
        <v>893</v>
      </c>
      <c r="E699" s="1300"/>
      <c r="F699" s="1300"/>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2716</v>
      </c>
      <c r="C702" s="483"/>
      <c r="D702" s="1302" t="s">
        <v>2243</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2716</v>
      </c>
      <c r="C709" s="483"/>
      <c r="D709" s="1302" t="s">
        <v>1199</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2716</v>
      </c>
      <c r="C712" s="483"/>
      <c r="D712" s="1302" t="s">
        <v>1075</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2716</v>
      </c>
      <c r="C725" s="483"/>
      <c r="D725" s="1302" t="s">
        <v>2461</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2716</v>
      </c>
      <c r="C729" s="483"/>
      <c r="D729" s="1302" t="s">
        <v>2460</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2716</v>
      </c>
      <c r="C733" s="483"/>
      <c r="D733" s="1302" t="s">
        <v>2459</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2716</v>
      </c>
      <c r="C738" s="483"/>
      <c r="D738" s="1302" t="s">
        <v>1076</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2715</v>
      </c>
      <c r="C744" s="483"/>
      <c r="D744" s="1302" t="s">
        <v>2144</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2073</v>
      </c>
      <c r="E751" s="1303"/>
      <c r="F751" s="1303"/>
      <c r="H751" s="501"/>
      <c r="I751" s="483"/>
      <c r="J751" s="501"/>
      <c r="K751" s="501"/>
    </row>
    <row r="752" spans="1:11">
      <c r="A752" s="483"/>
      <c r="B752" s="483"/>
      <c r="C752" s="483"/>
      <c r="D752" s="341"/>
      <c r="H752" s="501"/>
      <c r="I752" s="483"/>
      <c r="J752" s="501"/>
      <c r="K752" s="501"/>
    </row>
    <row r="753" spans="1:11">
      <c r="A753" s="1301" t="s">
        <v>1058</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1068</v>
      </c>
      <c r="E755" s="1318"/>
      <c r="F755" s="1318"/>
      <c r="G755" s="501"/>
      <c r="H755" s="501"/>
      <c r="I755" s="483"/>
      <c r="J755" s="501"/>
      <c r="K755" s="501"/>
    </row>
    <row r="756" spans="1:11">
      <c r="A756" s="483"/>
      <c r="B756" s="483"/>
      <c r="C756" s="483"/>
      <c r="D756" s="1304" t="s">
        <v>1069</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2715</v>
      </c>
      <c r="D758" s="1302" t="s">
        <v>1070</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2715</v>
      </c>
      <c r="C765" s="504"/>
      <c r="D765" s="1302" t="s">
        <v>1239</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2715</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2716</v>
      </c>
      <c r="D774" s="1302" t="s">
        <v>1196</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2716</v>
      </c>
      <c r="D777" s="1302" t="s">
        <v>1213</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1799</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319" t="s">
        <v>1753</v>
      </c>
      <c r="E784" s="1319"/>
      <c r="F784" s="1319"/>
      <c r="G784" s="3"/>
      <c r="I784" s="490"/>
    </row>
    <row r="785" spans="1:9">
      <c r="A785" s="57"/>
      <c r="B785" s="57"/>
      <c r="C785" s="354"/>
      <c r="D785" s="447"/>
      <c r="E785" s="447"/>
      <c r="F785" s="447"/>
      <c r="G785" s="3"/>
      <c r="I785" s="490"/>
    </row>
    <row r="786" spans="1:9">
      <c r="A786" s="57"/>
      <c r="B786" s="485" t="s">
        <v>2715</v>
      </c>
      <c r="C786" s="354"/>
      <c r="D786" s="1295" t="s">
        <v>1754</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2716</v>
      </c>
      <c r="C790" s="172"/>
      <c r="D790" s="1295" t="s">
        <v>1755</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2716</v>
      </c>
      <c r="C794" s="989"/>
      <c r="D794" s="1295" t="s">
        <v>1756</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2716</v>
      </c>
      <c r="C798" s="989"/>
      <c r="D798" s="1295" t="s">
        <v>1757</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1800</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2716</v>
      </c>
      <c r="C808" s="989"/>
      <c r="D808" s="1295" t="s">
        <v>1758</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2716</v>
      </c>
      <c r="C815" s="989"/>
      <c r="D815" s="1295" t="s">
        <v>1759</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2716</v>
      </c>
      <c r="C822" s="989"/>
      <c r="D822" s="1290" t="s">
        <v>1760</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1761</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1801</v>
      </c>
      <c r="E831" s="1306"/>
      <c r="F831" s="1306"/>
      <c r="G831" s="3"/>
      <c r="I831" s="490"/>
    </row>
    <row r="832" spans="1:9" ht="14.25" customHeight="1">
      <c r="A832" s="175"/>
      <c r="B832" s="175"/>
      <c r="C832" s="354"/>
      <c r="D832" s="1263" t="s">
        <v>1762</v>
      </c>
      <c r="E832" s="1263"/>
      <c r="F832" s="1263"/>
      <c r="G832" s="3"/>
      <c r="I832" s="490"/>
    </row>
    <row r="833" spans="1:9" ht="12.75" customHeight="1">
      <c r="A833" s="175"/>
      <c r="B833" s="175"/>
      <c r="C833" s="354"/>
      <c r="D833" s="441"/>
      <c r="E833" s="441"/>
      <c r="F833" s="441"/>
      <c r="G833" s="3"/>
      <c r="I833" s="490"/>
    </row>
    <row r="834" spans="1:9" ht="12.75" customHeight="1">
      <c r="A834" s="354"/>
      <c r="B834" s="485" t="s">
        <v>2715</v>
      </c>
      <c r="C834" s="989"/>
      <c r="D834" s="1263" t="s">
        <v>1763</v>
      </c>
      <c r="E834" s="1263"/>
      <c r="F834" s="1263"/>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2074</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2715</v>
      </c>
      <c r="C848" s="989"/>
      <c r="D848" s="1263" t="s">
        <v>1764</v>
      </c>
      <c r="E848" s="1263"/>
      <c r="F848" s="1263"/>
      <c r="G848" s="3"/>
      <c r="I848" s="490" t="s">
        <v>1881</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2716</v>
      </c>
      <c r="C852" s="989"/>
      <c r="D852" s="1306" t="s">
        <v>1765</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2067</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2716</v>
      </c>
      <c r="C861" s="989"/>
      <c r="D861" s="1263" t="s">
        <v>1766</v>
      </c>
      <c r="E861" s="1263"/>
      <c r="F861" s="1263"/>
      <c r="G861" s="3"/>
      <c r="I861" s="490" t="s">
        <v>1879</v>
      </c>
    </row>
    <row r="862" spans="1:9" ht="12.75" customHeight="1">
      <c r="A862" s="175"/>
      <c r="B862" s="175"/>
      <c r="C862" s="989"/>
      <c r="D862" s="1263" t="s">
        <v>1767</v>
      </c>
      <c r="E862" s="1263"/>
      <c r="F862" s="1263"/>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2716</v>
      </c>
      <c r="C865" s="989"/>
      <c r="D865" s="1263" t="s">
        <v>1768</v>
      </c>
      <c r="E865" s="1263"/>
      <c r="F865" s="1263"/>
      <c r="G865" s="3"/>
      <c r="I865" s="490" t="s">
        <v>1882</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1802</v>
      </c>
      <c r="E872" s="1296"/>
      <c r="F872" s="1296"/>
      <c r="G872" s="988"/>
      <c r="I872" s="490"/>
    </row>
    <row r="873" spans="1:9" ht="12.75" customHeight="1">
      <c r="A873" s="354"/>
      <c r="B873" s="354"/>
      <c r="C873" s="174"/>
      <c r="D873" s="1305" t="s">
        <v>1770</v>
      </c>
      <c r="E873" s="1305"/>
      <c r="F873" s="1305"/>
      <c r="G873" s="988"/>
      <c r="I873" s="490"/>
    </row>
    <row r="874" spans="1:9" ht="12.75" customHeight="1">
      <c r="A874" s="354"/>
      <c r="B874" s="354"/>
      <c r="C874" s="174"/>
      <c r="D874" s="995"/>
      <c r="E874" s="995"/>
      <c r="F874" s="995"/>
      <c r="G874" s="988"/>
      <c r="I874" s="490"/>
    </row>
    <row r="875" spans="1:9" ht="12.75" customHeight="1">
      <c r="A875" s="175"/>
      <c r="B875" s="485" t="s">
        <v>2715</v>
      </c>
      <c r="C875" s="354"/>
      <c r="D875" s="1289" t="s">
        <v>1771</v>
      </c>
      <c r="E875" s="1289"/>
      <c r="F875" s="1289"/>
      <c r="G875" s="988"/>
      <c r="I875" s="490" t="s">
        <v>1879</v>
      </c>
    </row>
    <row r="876" spans="1:9" ht="12.75" customHeight="1">
      <c r="A876" s="354"/>
      <c r="B876" s="354"/>
      <c r="C876" s="354"/>
      <c r="D876" s="2" t="s">
        <v>1746</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2715</v>
      </c>
      <c r="C878" s="354"/>
      <c r="D878" s="1263" t="s">
        <v>1772</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2716</v>
      </c>
      <c r="C881" s="354"/>
      <c r="D881" s="1313" t="s">
        <v>1773</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2067</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2716</v>
      </c>
      <c r="C890" s="354"/>
      <c r="D890" s="1288" t="s">
        <v>1766</v>
      </c>
      <c r="E890" s="1288"/>
      <c r="F890" s="1288"/>
      <c r="G890" s="988"/>
      <c r="I890" s="490"/>
    </row>
    <row r="891" spans="1:9" ht="12.75" customHeight="1">
      <c r="A891" s="175"/>
      <c r="B891" s="175"/>
      <c r="C891" s="354"/>
      <c r="D891" s="1288" t="s">
        <v>1767</v>
      </c>
      <c r="E891" s="1288"/>
      <c r="F891" s="1288"/>
      <c r="G891" s="988"/>
      <c r="I891" s="490"/>
    </row>
    <row r="892" spans="1:9" ht="12.75" customHeight="1">
      <c r="A892" s="175"/>
      <c r="B892" s="175"/>
      <c r="C892" s="354"/>
      <c r="D892" s="2" t="s">
        <v>1268</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2716</v>
      </c>
      <c r="C894" s="354"/>
      <c r="D894" s="1263" t="s">
        <v>1768</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1803</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1809</v>
      </c>
      <c r="E901" s="1284"/>
      <c r="F901" s="1284"/>
      <c r="G901" s="57"/>
      <c r="I901" s="490"/>
    </row>
    <row r="902" spans="1:9" ht="12.75" customHeight="1">
      <c r="A902" s="57"/>
      <c r="B902" s="57"/>
      <c r="C902" s="57"/>
      <c r="D902" s="981"/>
      <c r="E902" s="981"/>
      <c r="F902" s="981"/>
      <c r="G902" s="57"/>
      <c r="I902" s="490"/>
    </row>
    <row r="903" spans="1:9" ht="12.75" customHeight="1">
      <c r="A903" s="57"/>
      <c r="B903" s="485" t="s">
        <v>2715</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1804</v>
      </c>
      <c r="E905" s="1284"/>
      <c r="F905" s="1284"/>
      <c r="G905" s="988"/>
      <c r="I905" s="490"/>
    </row>
    <row r="906" spans="1:9" ht="12.75" customHeight="1">
      <c r="A906" s="172"/>
      <c r="B906" s="172"/>
      <c r="C906" s="172"/>
      <c r="D906" s="1289" t="s">
        <v>1774</v>
      </c>
      <c r="E906" s="1289"/>
      <c r="F906" s="1289"/>
      <c r="G906" s="988"/>
      <c r="I906" s="490"/>
    </row>
    <row r="907" spans="1:9" ht="12.75" customHeight="1">
      <c r="A907" s="989"/>
      <c r="B907" s="989"/>
      <c r="C907" s="989"/>
      <c r="D907" s="2"/>
      <c r="E907" s="988"/>
      <c r="F907" s="988"/>
      <c r="G907" s="988"/>
      <c r="I907" s="490"/>
    </row>
    <row r="908" spans="1:9" ht="12.75" customHeight="1">
      <c r="A908" s="175"/>
      <c r="B908" s="485" t="s">
        <v>2715</v>
      </c>
      <c r="C908" s="354"/>
      <c r="D908" s="1263" t="s">
        <v>1778</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1777</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2715</v>
      </c>
      <c r="C913" s="174"/>
      <c r="D913" s="1274" t="s">
        <v>1775</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2716</v>
      </c>
      <c r="C922" s="989"/>
      <c r="D922" s="1263" t="s">
        <v>1779</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2716</v>
      </c>
      <c r="C925" s="989"/>
      <c r="D925" s="1290" t="s">
        <v>1780</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2716</v>
      </c>
      <c r="C930" s="989"/>
      <c r="D930" s="1289" t="s">
        <v>2068</v>
      </c>
      <c r="E930" s="1289"/>
      <c r="F930" s="1289"/>
      <c r="G930" s="988"/>
      <c r="I930" s="490"/>
    </row>
    <row r="931" spans="1:9" ht="12.75" customHeight="1">
      <c r="A931" s="989"/>
      <c r="B931" s="989"/>
      <c r="C931" s="989"/>
      <c r="D931" s="118"/>
      <c r="E931" s="988"/>
      <c r="F931" s="988"/>
      <c r="G931" s="988"/>
      <c r="I931" s="490"/>
    </row>
    <row r="932" spans="1:9" ht="12.75" customHeight="1">
      <c r="A932" s="989"/>
      <c r="B932" s="485" t="s">
        <v>2716</v>
      </c>
      <c r="C932" s="989"/>
      <c r="D932" s="1289" t="s">
        <v>2069</v>
      </c>
      <c r="E932" s="1289"/>
      <c r="F932" s="1289"/>
      <c r="G932" s="988"/>
      <c r="I932" s="490"/>
    </row>
    <row r="933" spans="1:9" ht="12.75" customHeight="1">
      <c r="A933" s="174"/>
      <c r="B933" s="174"/>
      <c r="C933" s="174"/>
      <c r="D933" s="2"/>
      <c r="E933" s="3"/>
      <c r="F933" s="988"/>
      <c r="G933" s="988"/>
      <c r="I933" s="490"/>
    </row>
    <row r="934" spans="1:9" ht="12.75" customHeight="1">
      <c r="A934" s="997"/>
      <c r="B934" s="485" t="s">
        <v>2715</v>
      </c>
      <c r="C934" s="998"/>
      <c r="D934" s="1274" t="s">
        <v>1776</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2715</v>
      </c>
      <c r="C944" s="174"/>
      <c r="D944" s="1298" t="s">
        <v>1885</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2716</v>
      </c>
      <c r="C952" s="174"/>
      <c r="D952" s="1273" t="s">
        <v>2136</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2716</v>
      </c>
      <c r="C959" s="989"/>
      <c r="D959" s="1290" t="s">
        <v>1781</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2716</v>
      </c>
      <c r="C964" s="174"/>
      <c r="D964" s="1274" t="s">
        <v>1884</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1782</v>
      </c>
      <c r="E969" s="1296"/>
      <c r="F969" s="1296"/>
      <c r="G969" s="3"/>
      <c r="I969" s="490"/>
    </row>
    <row r="970" spans="1:9" ht="12.75" customHeight="1">
      <c r="A970" s="175"/>
      <c r="B970" s="485" t="s">
        <v>2716</v>
      </c>
      <c r="C970" s="354"/>
      <c r="D970" s="1289" t="s">
        <v>1805</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1783</v>
      </c>
      <c r="E972" s="1296"/>
      <c r="F972" s="1296"/>
      <c r="G972"/>
      <c r="I972" s="490"/>
    </row>
    <row r="973" spans="1:9" ht="12.75" customHeight="1">
      <c r="A973" s="175"/>
      <c r="B973" s="485" t="s">
        <v>2715</v>
      </c>
      <c r="C973" s="354"/>
      <c r="D973" s="1263" t="s">
        <v>2070</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1784</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1806</v>
      </c>
      <c r="E991" s="1296"/>
      <c r="F991" s="1296"/>
      <c r="G991" s="3"/>
      <c r="I991" s="490"/>
    </row>
    <row r="992" spans="1:9" ht="12.75" customHeight="1">
      <c r="A992" s="172"/>
      <c r="B992" s="172"/>
      <c r="C992" s="172"/>
      <c r="D992" s="1289" t="s">
        <v>1785</v>
      </c>
      <c r="E992" s="1289"/>
      <c r="F992" s="1289"/>
      <c r="G992" s="3"/>
      <c r="I992" s="490"/>
    </row>
    <row r="993" spans="1:9" ht="12.75" customHeight="1">
      <c r="A993" s="172"/>
      <c r="B993" s="172"/>
      <c r="C993" s="172"/>
      <c r="D993" s="3"/>
      <c r="E993" s="3"/>
      <c r="F993" s="988"/>
      <c r="G993"/>
      <c r="I993" s="490"/>
    </row>
    <row r="994" spans="1:9" ht="12.75" customHeight="1">
      <c r="A994" s="354"/>
      <c r="B994" s="485" t="s">
        <v>2715</v>
      </c>
      <c r="C994" s="354"/>
      <c r="D994" s="1297" t="s">
        <v>1914</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2716</v>
      </c>
      <c r="C1002" s="174"/>
      <c r="D1002" s="1263" t="s">
        <v>1786</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2716</v>
      </c>
      <c r="C1007" s="174"/>
      <c r="D1007" s="1263" t="s">
        <v>2229</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2716</v>
      </c>
      <c r="C1010" s="354"/>
      <c r="D1010" s="1289" t="s">
        <v>1787</v>
      </c>
      <c r="E1010" s="1289"/>
      <c r="F1010" s="1289"/>
      <c r="G1010"/>
      <c r="I1010" s="490"/>
    </row>
    <row r="1011" spans="1:9" ht="12.75" customHeight="1">
      <c r="A1011" s="354"/>
      <c r="B1011" s="354"/>
      <c r="C1011" s="354"/>
      <c r="D1011" s="3"/>
      <c r="E1011" s="3"/>
      <c r="F1011" s="3"/>
      <c r="G1011"/>
      <c r="I1011" s="490"/>
    </row>
    <row r="1012" spans="1:9" ht="12.75" customHeight="1">
      <c r="A1012" s="175"/>
      <c r="B1012" s="485" t="s">
        <v>2716</v>
      </c>
      <c r="C1012" s="354"/>
      <c r="D1012" s="1289" t="s">
        <v>1788</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2715</v>
      </c>
      <c r="C1014" s="354"/>
      <c r="D1014" s="1289" t="s">
        <v>1789</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2715</v>
      </c>
      <c r="C1016" s="354"/>
      <c r="D1016" s="1263" t="s">
        <v>1790</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2716</v>
      </c>
      <c r="C1019" s="1000"/>
      <c r="D1019" s="1295" t="s">
        <v>1791</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2716</v>
      </c>
      <c r="C1022" s="1000"/>
      <c r="D1022" s="1285" t="s">
        <v>1792</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2716</v>
      </c>
      <c r="C1024" s="354"/>
      <c r="D1024" s="1289" t="s">
        <v>1793</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2716</v>
      </c>
      <c r="C1026" s="354"/>
      <c r="D1026" s="1263" t="s">
        <v>1794</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1795</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1796</v>
      </c>
      <c r="E1031" s="1284"/>
      <c r="F1031" s="1284"/>
      <c r="G1031" s="3"/>
      <c r="I1031" s="490"/>
    </row>
    <row r="1032" spans="1:9" ht="12.75" customHeight="1">
      <c r="A1032" s="354"/>
      <c r="B1032" s="354"/>
      <c r="C1032" s="354"/>
      <c r="D1032" s="1285" t="s">
        <v>1797</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1811</v>
      </c>
      <c r="E1034" s="1284"/>
      <c r="F1034" s="1284"/>
      <c r="G1034" s="3"/>
      <c r="I1034" s="490"/>
    </row>
    <row r="1035" spans="1:9" ht="12.75" customHeight="1">
      <c r="A1035" s="354"/>
      <c r="B1035" s="485" t="s">
        <v>2715</v>
      </c>
      <c r="C1035" s="354"/>
      <c r="D1035" s="1285" t="s">
        <v>1269</v>
      </c>
      <c r="E1035" s="1285"/>
      <c r="F1035" s="1285"/>
      <c r="G1035" s="3"/>
      <c r="I1035" s="490"/>
    </row>
    <row r="1036" spans="1:9" ht="12.75" customHeight="1">
      <c r="A1036" s="354"/>
      <c r="B1036" s="175"/>
      <c r="C1036" s="354"/>
      <c r="D1036" s="1285" t="s">
        <v>1798</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1807</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1270</v>
      </c>
      <c r="E1040" s="1283"/>
      <c r="F1040" s="1283"/>
      <c r="G1040" s="3"/>
      <c r="I1040" s="490"/>
    </row>
    <row r="1041" spans="1:9" ht="12.75" hidden="1" customHeight="1">
      <c r="A1041" s="118"/>
      <c r="B1041" s="485" t="s">
        <v>306</v>
      </c>
      <c r="D1041" s="1282" t="s">
        <v>1269</v>
      </c>
      <c r="E1041" s="1282"/>
      <c r="F1041" s="1282"/>
      <c r="G1041" s="3"/>
      <c r="I1041" s="490"/>
    </row>
    <row r="1042" spans="1:9" ht="12.75" hidden="1" customHeight="1">
      <c r="A1042" s="118"/>
      <c r="B1042" s="402"/>
      <c r="D1042" s="1282" t="s">
        <v>1808</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1064</v>
      </c>
      <c r="E1044" s="1287"/>
      <c r="F1044" s="1287"/>
      <c r="G1044" s="3"/>
      <c r="I1044" s="490"/>
    </row>
    <row r="1045" spans="1:9" ht="12.75" customHeight="1">
      <c r="A1045" s="319"/>
      <c r="B1045" s="319"/>
      <c r="C1045" s="319"/>
      <c r="D1045" s="1288" t="s">
        <v>2247</v>
      </c>
      <c r="E1045" s="1288"/>
      <c r="F1045" s="1288"/>
      <c r="G1045" s="98"/>
      <c r="I1045" s="490"/>
    </row>
    <row r="1046" spans="1:9" ht="12.75" customHeight="1">
      <c r="A1046" s="175"/>
      <c r="B1046" s="485" t="s">
        <v>2716</v>
      </c>
      <c r="C1046" s="354"/>
      <c r="D1046" s="1288" t="s">
        <v>983</v>
      </c>
      <c r="E1046" s="1288"/>
      <c r="F1046" s="1288"/>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6" t="s">
        <v>1828</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2716</v>
      </c>
      <c r="C1054" s="402"/>
      <c r="D1054" s="1292" t="s">
        <v>1812</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2716</v>
      </c>
      <c r="C1062" s="402"/>
      <c r="D1062" s="402" t="s">
        <v>1810</v>
      </c>
      <c r="I1062" s="490"/>
    </row>
    <row r="1063" spans="1:9">
      <c r="A1063" s="402"/>
      <c r="B1063" s="402"/>
      <c r="C1063" s="402"/>
      <c r="I1063" s="490"/>
    </row>
    <row r="1064" spans="1:9">
      <c r="A1064" s="402"/>
      <c r="B1064" s="485" t="s">
        <v>2716</v>
      </c>
      <c r="C1064" s="402"/>
      <c r="D1064" s="1292" t="s">
        <v>1816</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1817</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2715</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2716</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2716</v>
      </c>
      <c r="C1079" s="402"/>
      <c r="D1079" s="119" t="s">
        <v>1826</v>
      </c>
      <c r="I1079" s="490"/>
    </row>
    <row r="1080" spans="1:9">
      <c r="A1080" s="402"/>
      <c r="B1080" s="402"/>
      <c r="C1080" s="402"/>
      <c r="D1080" s="1263" t="s">
        <v>1827</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2716</v>
      </c>
      <c r="C1087" s="402"/>
      <c r="D1087" s="1291" t="s">
        <v>1819</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1824</v>
      </c>
      <c r="I1092" s="490"/>
    </row>
    <row r="1093" spans="1:9">
      <c r="A1093" s="402"/>
      <c r="B1093" s="402"/>
      <c r="C1093" s="402"/>
      <c r="I1093" s="490"/>
    </row>
    <row r="1094" spans="1:9">
      <c r="A1094" s="402"/>
      <c r="B1094" s="485" t="s">
        <v>2716</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1829</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2716</v>
      </c>
      <c r="C1101" s="402"/>
      <c r="D1101" s="1293" t="s">
        <v>1928</v>
      </c>
      <c r="E1101" s="1293"/>
      <c r="F1101" s="1293"/>
      <c r="I1101" s="490"/>
    </row>
    <row r="1102" spans="1:9">
      <c r="A1102" s="402"/>
      <c r="B1102" s="402"/>
      <c r="C1102" s="402"/>
      <c r="D1102" s="1293"/>
      <c r="E1102" s="1293"/>
      <c r="F1102" s="1293"/>
      <c r="I1102" s="490"/>
    </row>
    <row r="1103" spans="1:9">
      <c r="A1103" s="402"/>
      <c r="B1103" s="402"/>
      <c r="C1103" s="402"/>
      <c r="D1103" s="1294" t="s">
        <v>2142</v>
      </c>
      <c r="E1103" s="1263"/>
      <c r="F1103" s="1263"/>
      <c r="I1103" s="490"/>
    </row>
    <row r="1104" spans="1:9">
      <c r="A1104" s="402"/>
      <c r="B1104" s="402"/>
      <c r="C1104" s="402"/>
      <c r="D1104" s="527"/>
      <c r="I1104" s="490"/>
    </row>
    <row r="1105" spans="1:9">
      <c r="A1105" s="402"/>
      <c r="B1105" s="485" t="s">
        <v>2716</v>
      </c>
      <c r="C1105" s="402"/>
      <c r="D1105" s="1291" t="s">
        <v>1830</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2716</v>
      </c>
      <c r="C1108" s="402"/>
      <c r="D1108" s="1291" t="s">
        <v>1886</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2716</v>
      </c>
      <c r="C1115" s="402"/>
      <c r="D1115" s="1291" t="s">
        <v>1831</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2715</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2716</v>
      </c>
      <c r="C1123" s="402"/>
      <c r="D1123" s="1263" t="s">
        <v>1888</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view="pageBreakPreview" topLeftCell="A854" zoomScale="93" zoomScaleNormal="93" zoomScaleSheetLayoutView="93" workbookViewId="0">
      <selection activeCell="W866" sqref="W866:AC86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City of Los Angeles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13</v>
      </c>
    </row>
    <row r="8" spans="1:58" ht="26.25" customHeight="1">
      <c r="A8" s="1421" t="s">
        <v>100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898"/>
      <c r="AV8" s="898"/>
      <c r="AW8" s="898"/>
      <c r="AX8" s="898"/>
      <c r="AY8" s="898"/>
      <c r="BD8" s="3" t="s">
        <v>2509</v>
      </c>
      <c r="BE8" s="1249">
        <f>SUMIF($AC$718:$AC$752,"&lt;=35%",$G$718:G$752)-SUM($BE$5:BE7)</f>
        <v>0</v>
      </c>
    </row>
    <row r="9" spans="1:58" ht="12.95" customHeight="1">
      <c r="A9" s="1356" t="s">
        <v>2075</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248" t="s">
        <v>2501</v>
      </c>
      <c r="BE9" s="1249">
        <f>SUMIF($AC$718:$AC$752,"&lt;=40%",$G$718:G$752)-SUM($BE$5:BE8)</f>
        <v>0</v>
      </c>
    </row>
    <row r="10" spans="1:58" ht="12.95" customHeight="1">
      <c r="A10" s="1356" t="s">
        <v>2458</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2510</v>
      </c>
      <c r="BE10" s="1249">
        <f>SUMIF($AC$718:$AC$752,"&lt;=45%",$G$718:G$752)-SUM($BE$5:BE9)</f>
        <v>0</v>
      </c>
    </row>
    <row r="11" spans="1:58" ht="12.95" customHeight="1">
      <c r="A11" s="1356" t="s">
        <v>2604</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247" t="s">
        <v>2502</v>
      </c>
      <c r="BE11" s="1249">
        <f>SUMIF($AC$718:$AC$752,"&lt;=50%",$G$718:G$752)-SUM($BE$5:BE10)</f>
        <v>13</v>
      </c>
    </row>
    <row r="12" spans="1:58" ht="12.95" customHeight="1">
      <c r="A12" s="1422" t="s">
        <v>2609</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6"/>
      <c r="AV12" s="6"/>
      <c r="AW12" s="6"/>
      <c r="AX12" s="6"/>
      <c r="AY12" s="6"/>
      <c r="BD12" s="3" t="s">
        <v>2511</v>
      </c>
      <c r="BE12" s="1249">
        <f>SUMIF($AC$718:$AC$752,"&lt;=55%",$G$718:G$752)-SUM($BE$5:BE11)</f>
        <v>0</v>
      </c>
    </row>
    <row r="13" spans="1:58" ht="12.95" customHeight="1">
      <c r="A13" s="1261" t="s">
        <v>2076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2503</v>
      </c>
      <c r="BE13" s="1249">
        <f>SUMIF($AC$718:$AC$752,"&lt;=60%",$G$718:G$752)-SUM($BE$5:BE12)</f>
        <v>49</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2504</v>
      </c>
      <c r="BE14" s="1249">
        <f>SUMIF($AC$718:$AC$752,"&lt;=70%",$G$718:G$752)-SUM($BE$5:BE13)</f>
        <v>52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2077</v>
      </c>
      <c r="C16" s="4"/>
      <c r="D16" s="4"/>
      <c r="E16" s="4"/>
      <c r="F16" s="4"/>
      <c r="G16" s="4"/>
      <c r="H16" s="1430" t="s">
        <v>2611</v>
      </c>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BD16" s="1248" t="s">
        <v>655</v>
      </c>
      <c r="BE16" s="1249" t="str">
        <f>Application!H18</f>
        <v xml:space="preserve">Warner Center II </v>
      </c>
    </row>
    <row r="17" spans="1:58" ht="12.95" customHeight="1">
      <c r="BD17" s="1247" t="s">
        <v>2518</v>
      </c>
      <c r="BE17" s="1249">
        <f>Application!AA934</f>
        <v>0</v>
      </c>
    </row>
    <row r="18" spans="1:58" ht="12.95" customHeight="1">
      <c r="A18" s="57" t="s">
        <v>101</v>
      </c>
      <c r="C18" s="4"/>
      <c r="D18" s="4"/>
      <c r="E18" s="4"/>
      <c r="F18" s="4"/>
      <c r="G18" s="4"/>
      <c r="H18" s="1427" t="s">
        <v>2610</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c r="BD18" s="1248" t="s">
        <v>2519</v>
      </c>
      <c r="BE18" s="1249">
        <f>'CalHFA Addendum'!N11</f>
        <v>0</v>
      </c>
    </row>
    <row r="19" spans="1:58" ht="12.95" customHeight="1">
      <c r="BD19" s="1247" t="s">
        <v>2520</v>
      </c>
      <c r="BE19" s="1249">
        <f>Application!M26</f>
        <v>2846823</v>
      </c>
    </row>
    <row r="20" spans="1:58" ht="12.95" customHeight="1">
      <c r="A20" s="1423" t="s">
        <v>872</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900"/>
      <c r="AV20" s="900"/>
      <c r="AW20" s="900"/>
      <c r="AX20" s="900"/>
      <c r="AY20" s="900"/>
      <c r="BD20" s="1248" t="s">
        <v>2521</v>
      </c>
      <c r="BE20" s="1249">
        <f>Application!M27</f>
        <v>7000000</v>
      </c>
    </row>
    <row r="21" spans="1:58" ht="12.95" customHeight="1">
      <c r="A21" s="1432" t="s">
        <v>1007</v>
      </c>
      <c r="B21" s="1432"/>
      <c r="C21" s="1432"/>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c r="AL21" s="1432"/>
      <c r="AM21" s="901"/>
      <c r="AN21" s="901"/>
      <c r="AO21" s="901"/>
      <c r="AP21" s="901"/>
      <c r="AQ21" s="901"/>
      <c r="AR21" s="901"/>
      <c r="AS21" s="901"/>
      <c r="AT21" s="901"/>
      <c r="AU21" s="901"/>
      <c r="AV21" s="901"/>
      <c r="AW21" s="901"/>
      <c r="AX21" s="901"/>
      <c r="AY21" s="901"/>
      <c r="BD21" s="1247" t="s">
        <v>2522</v>
      </c>
      <c r="BE21" s="1249">
        <f>Application!AM554</f>
        <v>27800000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58945214</v>
      </c>
      <c r="BF22" s="3" t="s">
        <v>2595</v>
      </c>
    </row>
    <row r="23" spans="1:58" ht="12.95" customHeight="1">
      <c r="A23" s="1293" t="s">
        <v>2145</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2523</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2524</v>
      </c>
      <c r="BE24" s="1249">
        <f>Application!AG450</f>
        <v>167047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29">
        <f>'Basis &amp; Credits'!AB56</f>
        <v>2846823</v>
      </c>
      <c r="N26" s="1429"/>
      <c r="O26" s="1429"/>
      <c r="P26" s="1429"/>
      <c r="Q26" s="1429"/>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433">
        <f>'Basis &amp; Credits'!AB78</f>
        <v>7000000</v>
      </c>
      <c r="N27" s="1433"/>
      <c r="O27" s="1433"/>
      <c r="P27" s="1433"/>
      <c r="Q27" s="1433"/>
      <c r="R27" s="3" t="s">
        <v>1265</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24" t="s">
        <v>2146</v>
      </c>
      <c r="B29" s="1424"/>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c r="AK29" s="1424"/>
      <c r="AL29" s="1424"/>
      <c r="AM29" s="1424"/>
      <c r="AN29" s="1424"/>
      <c r="AO29" s="1424"/>
      <c r="AP29" s="1424"/>
      <c r="AQ29" s="1424"/>
      <c r="AR29" s="1424"/>
      <c r="AS29" s="1424"/>
      <c r="AT29" s="1424"/>
      <c r="BD29" s="1247" t="s">
        <v>2527</v>
      </c>
      <c r="BE29" s="1249" t="b">
        <f>Application!M358="Yes"</f>
        <v>0</v>
      </c>
    </row>
    <row r="30" spans="1:58" ht="12.95" customHeight="1">
      <c r="A30" s="1424"/>
      <c r="B30" s="1424"/>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Z30" s="20"/>
      <c r="BD30" s="1248" t="s">
        <v>28</v>
      </c>
      <c r="BE30" s="1249" t="b">
        <f>Application!AJ355="Yes"</f>
        <v>0</v>
      </c>
    </row>
    <row r="31" spans="1:58" ht="12.95" customHeight="1">
      <c r="A31" s="142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1276</v>
      </c>
      <c r="C33" s="519"/>
      <c r="D33" s="519"/>
      <c r="E33" s="519"/>
      <c r="F33" s="519"/>
      <c r="G33" s="519"/>
      <c r="H33" s="519"/>
      <c r="I33" s="519"/>
      <c r="J33" s="519"/>
      <c r="K33" s="519"/>
      <c r="L33" s="519"/>
      <c r="M33" s="519"/>
      <c r="N33" s="519"/>
      <c r="O33" s="1333" t="s">
        <v>544</v>
      </c>
      <c r="P33" s="1333"/>
      <c r="Q33" s="1425" t="s">
        <v>2147</v>
      </c>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1425"/>
      <c r="AQ33" s="1425"/>
      <c r="AR33" s="1425"/>
      <c r="AS33" s="1425"/>
      <c r="AT33" s="1425"/>
      <c r="AU33" s="20"/>
      <c r="AV33" s="20"/>
      <c r="AW33" s="20"/>
      <c r="AX33" s="20"/>
      <c r="AY33" s="20"/>
      <c r="BD33" s="1247" t="s">
        <v>2596</v>
      </c>
      <c r="BE33" s="1249" t="str">
        <f>Application!D220</f>
        <v>City of Los Angeles</v>
      </c>
    </row>
    <row r="34" spans="1:57" ht="12.95" customHeight="1">
      <c r="A34" s="1424" t="s">
        <v>2148</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20"/>
      <c r="AV34" s="20"/>
      <c r="AW34" s="20"/>
      <c r="AX34" s="20"/>
      <c r="AY34" s="20"/>
      <c r="AZ34" s="20"/>
      <c r="BD34" s="1248" t="s">
        <v>2530</v>
      </c>
      <c r="BE34" s="1249" t="str">
        <f>Application!I185</f>
        <v>21320 Oxnard Street</v>
      </c>
    </row>
    <row r="35" spans="1:57" ht="12.95" customHeight="1">
      <c r="A35" s="1424"/>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20"/>
      <c r="AV35" s="20"/>
      <c r="AW35" s="20"/>
      <c r="AX35" s="20"/>
      <c r="AY35" s="20"/>
      <c r="AZ35" s="20"/>
      <c r="BD35" s="1247" t="s">
        <v>2531</v>
      </c>
      <c r="BE35" s="1249" t="str">
        <f>IF(Application!E187="","",Application!E187)</f>
        <v/>
      </c>
    </row>
    <row r="36" spans="1:57" ht="12.95" customHeight="1">
      <c r="A36" s="1424"/>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424"/>
      <c r="AM36" s="1424"/>
      <c r="AN36" s="1424"/>
      <c r="AO36" s="1424"/>
      <c r="AP36" s="1424"/>
      <c r="AQ36" s="1424"/>
      <c r="AR36" s="1424"/>
      <c r="AS36" s="1424"/>
      <c r="AT36" s="1424"/>
      <c r="AU36" s="20"/>
      <c r="AV36" s="20"/>
      <c r="AW36" s="20"/>
      <c r="AX36" s="20"/>
      <c r="AY36" s="20"/>
      <c r="AZ36" s="20"/>
      <c r="BD36" s="1248" t="s">
        <v>2532</v>
      </c>
      <c r="BE36" s="1249" t="str">
        <f>Application!I189</f>
        <v>Los Angeles</v>
      </c>
    </row>
    <row r="37" spans="1:57" ht="12.95" customHeight="1">
      <c r="A37" s="1424"/>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Z37" s="20"/>
      <c r="BD37" s="1247" t="s">
        <v>2533</v>
      </c>
      <c r="BE37" s="1249" t="str">
        <f>Application!T189</f>
        <v>Los Angeles</v>
      </c>
    </row>
    <row r="38" spans="1:57" ht="12.95" customHeight="1">
      <c r="A38" s="3"/>
      <c r="AZ38" s="20"/>
      <c r="BD38" s="1248" t="s">
        <v>2534</v>
      </c>
      <c r="BE38" s="1249">
        <f>Application!I190</f>
        <v>91367</v>
      </c>
    </row>
    <row r="39" spans="1:57" ht="12.95" customHeight="1">
      <c r="A39" s="1263" t="s">
        <v>2149</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2535</v>
      </c>
      <c r="BE39" s="1249">
        <f>Application!AG437</f>
        <v>128</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127</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2536</v>
      </c>
      <c r="BE42" s="1251">
        <f>Application!AC753</f>
        <v>0.59999999999999987</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2537</v>
      </c>
      <c r="BE43" s="1251">
        <f>Application!AH753</f>
        <v>0.60003513947133591</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2538</v>
      </c>
      <c r="BE44" s="1249">
        <f>Application!AC454</f>
        <v>460509.484375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3" t="s">
        <v>2150</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2540</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2541</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2542</v>
      </c>
      <c r="BE48" s="1249" t="str">
        <f>Application!M243</f>
        <v xml:space="preserve">Warner Center II, LLC </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2543</v>
      </c>
      <c r="BE49" s="1249" t="str">
        <f>Application!M246</f>
        <v xml:space="preserve">Loren Messeri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Meta Development, LLC</v>
      </c>
    </row>
    <row r="51" spans="1:57" ht="12.95" customHeight="1">
      <c r="A51" s="1263" t="s">
        <v>2151</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2545</v>
      </c>
      <c r="BE51" s="1249" t="str">
        <f>Application!M251</f>
        <v xml:space="preserve">FFAH V Warner Center II, LLC </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2546</v>
      </c>
      <c r="BE52" s="1249" t="str">
        <f>Application!M254</f>
        <v xml:space="preserve">Tarun Chandran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 xml:space="preserve">Foundation For Affordable Housing V, Inc.  </v>
      </c>
    </row>
    <row r="54" spans="1:57" ht="12.95" customHeight="1">
      <c r="A54" s="1263" t="s">
        <v>2152</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2548</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2549</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2550</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2551</v>
      </c>
      <c r="BE57" s="1249" t="str">
        <f>Application!H287</f>
        <v>Meta Development, LLC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2552</v>
      </c>
      <c r="BE58" s="1249" t="str">
        <f>Application!H288</f>
        <v>11150 W Olympic Blvd Ste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90064</v>
      </c>
    </row>
    <row r="60" spans="1:57" ht="12.95" customHeight="1">
      <c r="A60" s="1263" t="s">
        <v>2153</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2554</v>
      </c>
      <c r="BE60" s="1249" t="str">
        <f>Application!H290</f>
        <v xml:space="preserve">Aaron Mandel </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2555</v>
      </c>
      <c r="BE61" s="1249" t="str">
        <f>Application!H293</f>
        <v>amandel@metahousing.com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0.89990999999999999</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26" t="s">
        <v>2155</v>
      </c>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c r="AL65" s="1426"/>
      <c r="AM65" s="1426"/>
      <c r="AN65" s="1426"/>
      <c r="AO65" s="1426"/>
      <c r="AP65" s="1426"/>
      <c r="AQ65" s="1426"/>
      <c r="AR65" s="1426"/>
      <c r="AS65" s="1426"/>
      <c r="AT65" s="1426"/>
      <c r="AU65" s="21"/>
      <c r="AV65" s="21"/>
      <c r="AW65" s="21"/>
      <c r="AX65" s="21"/>
      <c r="AY65" s="21"/>
      <c r="AZ65" s="20"/>
      <c r="BD65" s="1247" t="s">
        <v>2593</v>
      </c>
      <c r="BE65" s="1249" t="str">
        <f>Z205</f>
        <v>$500M</v>
      </c>
    </row>
    <row r="66" spans="1:57" ht="12.95" customHeight="1">
      <c r="A66" s="1426"/>
      <c r="B66" s="1426"/>
      <c r="C66" s="1426"/>
      <c r="D66" s="1426"/>
      <c r="E66" s="1426"/>
      <c r="F66" s="1426"/>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1426"/>
      <c r="AR66" s="1426"/>
      <c r="AS66" s="1426"/>
      <c r="AT66" s="1426"/>
      <c r="AU66" s="21"/>
      <c r="AV66" s="21"/>
      <c r="AW66" s="21"/>
      <c r="AX66" s="21"/>
      <c r="AY66" s="21"/>
      <c r="AZ66" s="20"/>
      <c r="BD66" s="1248" t="s">
        <v>2558</v>
      </c>
      <c r="BE66" s="1249" t="b">
        <f>Application!Z205="State Farmworker Credit"</f>
        <v>0</v>
      </c>
    </row>
    <row r="67" spans="1:57" ht="12.95" customHeight="1">
      <c r="A67" s="1426"/>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26" t="s">
        <v>2156</v>
      </c>
      <c r="B69" s="1426"/>
      <c r="C69" s="1426"/>
      <c r="D69" s="1426"/>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c r="AK69" s="1426"/>
      <c r="AL69" s="1426"/>
      <c r="AM69" s="1426"/>
      <c r="AN69" s="1426"/>
      <c r="AO69" s="1426"/>
      <c r="AP69" s="1426"/>
      <c r="AQ69" s="1426"/>
      <c r="AR69" s="1426"/>
      <c r="AS69" s="1426"/>
      <c r="AT69" s="1426"/>
      <c r="AZ69" s="20"/>
      <c r="BD69" s="1247" t="s">
        <v>2561</v>
      </c>
      <c r="BE69" s="1249" t="str">
        <f>Application!W700</f>
        <v>California Municipal Finance Authority</v>
      </c>
    </row>
    <row r="70" spans="1:57" ht="12.95" customHeight="1">
      <c r="A70" s="1426"/>
      <c r="B70" s="1426"/>
      <c r="C70" s="1426"/>
      <c r="D70" s="1426"/>
      <c r="E70" s="1426"/>
      <c r="F70" s="1426"/>
      <c r="G70" s="1426"/>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c r="AL70" s="1426"/>
      <c r="AM70" s="1426"/>
      <c r="AN70" s="1426"/>
      <c r="AO70" s="1426"/>
      <c r="AP70" s="1426"/>
      <c r="AQ70" s="1426"/>
      <c r="AR70" s="1426"/>
      <c r="AS70" s="1426"/>
      <c r="AT70" s="1426"/>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24" t="s">
        <v>2157</v>
      </c>
      <c r="B72" s="1424"/>
      <c r="C72" s="1424"/>
      <c r="D72" s="1424"/>
      <c r="E72" s="1424"/>
      <c r="F72" s="1424"/>
      <c r="G72" s="1424"/>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c r="AL72" s="1424"/>
      <c r="AM72" s="1424"/>
      <c r="AN72" s="1424"/>
      <c r="AO72" s="1424"/>
      <c r="AP72" s="1424"/>
      <c r="AQ72" s="1424"/>
      <c r="AR72" s="1424"/>
      <c r="AS72" s="1424"/>
      <c r="AT72" s="1424"/>
      <c r="AU72" s="20"/>
      <c r="AV72" s="20"/>
      <c r="AW72" s="20"/>
      <c r="AX72" s="20"/>
      <c r="AY72" s="20"/>
      <c r="AZ72" s="20"/>
      <c r="BD72" s="1248" t="s">
        <v>2564</v>
      </c>
      <c r="BE72" s="1249">
        <f>'Points System'!AF805</f>
        <v>10</v>
      </c>
    </row>
    <row r="73" spans="1:57" ht="12.95" customHeight="1">
      <c r="A73" s="1424"/>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c r="AL73" s="1424"/>
      <c r="AM73" s="1424"/>
      <c r="AN73" s="1424"/>
      <c r="AO73" s="1424"/>
      <c r="AP73" s="1424"/>
      <c r="AQ73" s="1424"/>
      <c r="AR73" s="1424"/>
      <c r="AS73" s="1424"/>
      <c r="AT73" s="142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802" t="s">
        <v>2158</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20"/>
      <c r="AV75" s="20"/>
      <c r="AW75" s="20"/>
      <c r="AX75" s="20"/>
      <c r="AY75" s="20"/>
      <c r="AZ75" s="20"/>
      <c r="BD75" s="1247" t="s">
        <v>2567</v>
      </c>
      <c r="BE75" s="1249">
        <f>'Points System'!AF808</f>
        <v>10</v>
      </c>
    </row>
    <row r="76" spans="1:57" ht="12.95" customHeight="1">
      <c r="A76" s="1802"/>
      <c r="B76" s="1802"/>
      <c r="C76" s="1802"/>
      <c r="D76" s="1802"/>
      <c r="E76" s="1802"/>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20"/>
      <c r="AV76" s="20"/>
      <c r="AW76" s="20"/>
      <c r="AX76" s="20"/>
      <c r="AY76" s="20"/>
      <c r="AZ76" s="17"/>
      <c r="BD76" s="1248" t="s">
        <v>2568</v>
      </c>
      <c r="BE76" s="1249">
        <f>'Points System'!AF811</f>
        <v>10</v>
      </c>
    </row>
    <row r="77" spans="1:57" ht="12.95" customHeight="1">
      <c r="A77" s="1802"/>
      <c r="B77" s="1802"/>
      <c r="C77" s="1802"/>
      <c r="D77" s="1802"/>
      <c r="E77" s="1802"/>
      <c r="F77" s="1802"/>
      <c r="G77" s="1802"/>
      <c r="H77" s="1802"/>
      <c r="I77" s="1802"/>
      <c r="J77" s="1802"/>
      <c r="K77" s="1802"/>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26" t="s">
        <v>2159</v>
      </c>
      <c r="B79" s="1426"/>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c r="AK79" s="1426"/>
      <c r="AL79" s="1426"/>
      <c r="AM79" s="1426"/>
      <c r="AN79" s="1426"/>
      <c r="AO79" s="1426"/>
      <c r="AP79" s="1426"/>
      <c r="AQ79" s="1426"/>
      <c r="AR79" s="1426"/>
      <c r="AS79" s="1426"/>
      <c r="AT79" s="1426"/>
      <c r="AU79" s="20"/>
      <c r="AV79" s="20"/>
      <c r="AW79" s="20"/>
      <c r="AX79" s="20"/>
      <c r="AY79" s="20"/>
      <c r="AZ79" s="20"/>
      <c r="BD79" s="1247" t="s">
        <v>2571</v>
      </c>
      <c r="BE79" s="1249">
        <f>'Points System'!AF815</f>
        <v>10</v>
      </c>
    </row>
    <row r="80" spans="1:57" ht="12.95" customHeight="1">
      <c r="A80" s="1426"/>
      <c r="B80" s="1426"/>
      <c r="C80" s="1426"/>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c r="AL80" s="1426"/>
      <c r="AM80" s="1426"/>
      <c r="AN80" s="1426"/>
      <c r="AO80" s="1426"/>
      <c r="AP80" s="1426"/>
      <c r="AQ80" s="1426"/>
      <c r="AR80" s="1426"/>
      <c r="AS80" s="1426"/>
      <c r="AT80" s="1426"/>
      <c r="AU80" s="20"/>
      <c r="AV80" s="20"/>
      <c r="AW80" s="20"/>
      <c r="AX80" s="20"/>
      <c r="AY80" s="20"/>
      <c r="AZ80" s="20"/>
      <c r="BD80" s="1248" t="s">
        <v>2572</v>
      </c>
      <c r="BE80" s="1249">
        <f>'Points System'!AF817</f>
        <v>10</v>
      </c>
    </row>
    <row r="81" spans="1:57" ht="12.95" customHeight="1">
      <c r="A81" s="1426"/>
      <c r="B81" s="1426"/>
      <c r="C81" s="1426"/>
      <c r="D81" s="1426"/>
      <c r="E81" s="1426"/>
      <c r="F81" s="1426"/>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c r="AL81" s="1426"/>
      <c r="AM81" s="1426"/>
      <c r="AN81" s="1426"/>
      <c r="AO81" s="1426"/>
      <c r="AP81" s="1426"/>
      <c r="AQ81" s="1426"/>
      <c r="AR81" s="1426"/>
      <c r="AS81" s="1426"/>
      <c r="AT81" s="142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3" t="s">
        <v>2160</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2575</v>
      </c>
      <c r="BE83" s="1253">
        <f>'Tie Breaker'!H5</f>
        <v>1.1485110735820181</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2576</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 xml:space="preserve">Timothy Elliot </v>
      </c>
    </row>
    <row r="86" spans="1:57" ht="12.95" customHeight="1">
      <c r="A86" s="1263" t="s">
        <v>2161</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2578</v>
      </c>
      <c r="BE86" s="1249" t="str">
        <f>Application!O155</f>
        <v>Community Housing Program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2579</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2.95" customHeight="1">
      <c r="A89" s="1807" t="s">
        <v>2162</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c r="BD89" s="1247" t="s">
        <v>2581</v>
      </c>
      <c r="BE89" s="1249">
        <f>Application!O158</f>
        <v>90017</v>
      </c>
    </row>
    <row r="90" spans="1:57"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c r="BD90" s="1248" t="s">
        <v>2582</v>
      </c>
      <c r="BE90" s="1249" t="str">
        <f>Application!H16</f>
        <v xml:space="preserve">Warner Center II,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11150 W Olympic Blvd Ste 620</v>
      </c>
    </row>
    <row r="92" spans="1:57" ht="12.95" customHeight="1">
      <c r="A92" s="1802" t="s">
        <v>2163</v>
      </c>
      <c r="B92" s="1802"/>
      <c r="C92" s="1802"/>
      <c r="D92" s="1802"/>
      <c r="E92" s="1802"/>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2"/>
      <c r="AK92" s="1802"/>
      <c r="AL92" s="1802"/>
      <c r="AM92" s="1802"/>
      <c r="AN92" s="1802"/>
      <c r="AO92" s="1802"/>
      <c r="AP92" s="1802"/>
      <c r="AQ92" s="1802"/>
      <c r="AR92" s="1802"/>
      <c r="AS92" s="1802"/>
      <c r="AT92" s="1802"/>
      <c r="AU92" s="20"/>
      <c r="AV92" s="20"/>
      <c r="AW92" s="20"/>
      <c r="AX92" s="20"/>
      <c r="AY92" s="20"/>
      <c r="AZ92" s="20"/>
      <c r="BD92" s="1248" t="s">
        <v>2584</v>
      </c>
      <c r="BE92" s="1249" t="str">
        <f>Application!M234</f>
        <v>Los Angeles</v>
      </c>
    </row>
    <row r="93" spans="1:57" ht="12.95" customHeight="1">
      <c r="A93" s="1802"/>
      <c r="B93" s="1802"/>
      <c r="C93" s="1802"/>
      <c r="D93" s="1802"/>
      <c r="E93" s="1802"/>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2"/>
      <c r="AK93" s="1802"/>
      <c r="AL93" s="1802"/>
      <c r="AM93" s="1802"/>
      <c r="AN93" s="1802"/>
      <c r="AO93" s="1802"/>
      <c r="AP93" s="1802"/>
      <c r="AQ93" s="1802"/>
      <c r="AR93" s="1802"/>
      <c r="AS93" s="1802"/>
      <c r="AT93" s="1802"/>
      <c r="AU93" s="20"/>
      <c r="AV93" s="20"/>
      <c r="AW93" s="20"/>
      <c r="AX93" s="20"/>
      <c r="AY93" s="20"/>
      <c r="AZ93" s="20"/>
      <c r="BD93" s="1247" t="s">
        <v>2585</v>
      </c>
      <c r="BE93" s="1249" t="str">
        <f>Application!W234</f>
        <v>CA</v>
      </c>
    </row>
    <row r="94" spans="1:57" ht="12.95" customHeigh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20"/>
      <c r="AV94" s="20"/>
      <c r="AW94" s="20"/>
      <c r="AX94" s="20"/>
      <c r="AY94" s="20"/>
      <c r="AZ94" s="20"/>
      <c r="BD94" s="1248" t="s">
        <v>2586</v>
      </c>
      <c r="BE94" s="1249">
        <f>Application!AC234</f>
        <v>90064</v>
      </c>
    </row>
    <row r="95" spans="1:57" ht="12.95" customHeight="1">
      <c r="A95" s="1802"/>
      <c r="B95" s="1802"/>
      <c r="C95" s="1802"/>
      <c r="D95" s="1802"/>
      <c r="E95" s="1802"/>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2"/>
      <c r="AK95" s="1802"/>
      <c r="AL95" s="1802"/>
      <c r="AM95" s="1802"/>
      <c r="AN95" s="1802"/>
      <c r="AO95" s="1802"/>
      <c r="AP95" s="1802"/>
      <c r="AQ95" s="1802"/>
      <c r="AR95" s="1802"/>
      <c r="AS95" s="1802"/>
      <c r="AT95" s="1802"/>
      <c r="AU95" s="20"/>
      <c r="AV95" s="20"/>
      <c r="AW95" s="20"/>
      <c r="AX95" s="20"/>
      <c r="AY95" s="20"/>
      <c r="AZ95" s="20"/>
      <c r="BD95" s="1247" t="s">
        <v>2587</v>
      </c>
      <c r="BE95" s="1249" t="str">
        <f>Application!M235</f>
        <v xml:space="preserve">Loren Messeri </v>
      </c>
    </row>
    <row r="96" spans="1:57" ht="12.95" customHeight="1">
      <c r="A96" s="1802"/>
      <c r="B96" s="1802"/>
      <c r="C96" s="1802"/>
      <c r="D96" s="1802"/>
      <c r="E96" s="1802"/>
      <c r="F96" s="1802"/>
      <c r="G96" s="1802"/>
      <c r="H96" s="1802"/>
      <c r="I96" s="1802"/>
      <c r="J96" s="1802"/>
      <c r="K96" s="1802"/>
      <c r="L96" s="1802"/>
      <c r="M96" s="1802"/>
      <c r="N96" s="1802"/>
      <c r="O96" s="1802"/>
      <c r="P96" s="1802"/>
      <c r="Q96" s="1802"/>
      <c r="R96" s="1802"/>
      <c r="S96" s="1802"/>
      <c r="T96" s="1802"/>
      <c r="U96" s="1802"/>
      <c r="V96" s="1802"/>
      <c r="W96" s="1802"/>
      <c r="X96" s="1802"/>
      <c r="Y96" s="1802"/>
      <c r="Z96" s="1802"/>
      <c r="AA96" s="1802"/>
      <c r="AB96" s="1802"/>
      <c r="AC96" s="1802"/>
      <c r="AD96" s="1802"/>
      <c r="AE96" s="1802"/>
      <c r="AF96" s="1802"/>
      <c r="AG96" s="1802"/>
      <c r="AH96" s="1802"/>
      <c r="AI96" s="1802"/>
      <c r="AJ96" s="1802"/>
      <c r="AK96" s="1802"/>
      <c r="AL96" s="1802"/>
      <c r="AM96" s="1802"/>
      <c r="AN96" s="1802"/>
      <c r="AO96" s="1802"/>
      <c r="AP96" s="1802"/>
      <c r="AQ96" s="1802"/>
      <c r="AR96" s="1802"/>
      <c r="AS96" s="1802"/>
      <c r="AT96" s="1802"/>
      <c r="AU96" s="20"/>
      <c r="AV96" s="20"/>
      <c r="AW96" s="20"/>
      <c r="AX96" s="20"/>
      <c r="AY96" s="20"/>
      <c r="AZ96" s="20"/>
      <c r="BD96" s="1248" t="s">
        <v>2588</v>
      </c>
      <c r="BE96" s="1249" t="str">
        <f>Application!M237</f>
        <v>lmesseri@metahousing.com</v>
      </c>
    </row>
    <row r="97" spans="1:57" ht="12.95" customHeight="1">
      <c r="A97" s="1802"/>
      <c r="B97" s="1802"/>
      <c r="C97" s="1802"/>
      <c r="D97" s="1802"/>
      <c r="E97" s="1802"/>
      <c r="F97" s="1802"/>
      <c r="G97" s="1802"/>
      <c r="H97" s="1802"/>
      <c r="I97" s="1802"/>
      <c r="J97" s="1802"/>
      <c r="K97" s="1802"/>
      <c r="L97" s="1802"/>
      <c r="M97" s="1802"/>
      <c r="N97" s="1802"/>
      <c r="O97" s="1802"/>
      <c r="P97" s="1802"/>
      <c r="Q97" s="1802"/>
      <c r="R97" s="1802"/>
      <c r="S97" s="1802"/>
      <c r="T97" s="1802"/>
      <c r="U97" s="1802"/>
      <c r="V97" s="1802"/>
      <c r="W97" s="1802"/>
      <c r="X97" s="1802"/>
      <c r="Y97" s="1802"/>
      <c r="Z97" s="1802"/>
      <c r="AA97" s="1802"/>
      <c r="AB97" s="1802"/>
      <c r="AC97" s="1802"/>
      <c r="AD97" s="1802"/>
      <c r="AE97" s="1802"/>
      <c r="AF97" s="1802"/>
      <c r="AG97" s="1802"/>
      <c r="AH97" s="1802"/>
      <c r="AI97" s="1802"/>
      <c r="AJ97" s="1802"/>
      <c r="AK97" s="1802"/>
      <c r="AL97" s="1802"/>
      <c r="AM97" s="1802"/>
      <c r="AN97" s="1802"/>
      <c r="AO97" s="1802"/>
      <c r="AP97" s="1802"/>
      <c r="AQ97" s="1802"/>
      <c r="AR97" s="1802"/>
      <c r="AS97" s="1802"/>
      <c r="AT97" s="1802"/>
      <c r="AU97" s="20"/>
      <c r="AV97" s="20"/>
      <c r="AW97" s="20"/>
      <c r="AX97" s="20"/>
      <c r="AY97" s="20"/>
      <c r="AZ97" s="20"/>
      <c r="BD97" s="1247" t="s">
        <v>2589</v>
      </c>
      <c r="BE97" s="1249" t="str">
        <f>Application!M248</f>
        <v>lmesseri@metahousing.com</v>
      </c>
    </row>
    <row r="98" spans="1:57" ht="12.95" customHeight="1">
      <c r="A98" s="1802"/>
      <c r="B98" s="1802"/>
      <c r="C98" s="1802"/>
      <c r="D98" s="1802"/>
      <c r="E98" s="1802"/>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c r="AL98" s="1802"/>
      <c r="AM98" s="1802"/>
      <c r="AN98" s="1802"/>
      <c r="AO98" s="1802"/>
      <c r="AP98" s="1802"/>
      <c r="AQ98" s="1802"/>
      <c r="AR98" s="1802"/>
      <c r="AS98" s="1802"/>
      <c r="AT98" s="1802"/>
      <c r="AU98" s="20"/>
      <c r="AV98" s="20"/>
      <c r="AW98" s="20"/>
      <c r="AX98" s="20"/>
      <c r="AY98" s="20"/>
      <c r="AZ98" s="20"/>
      <c r="BD98" s="1248" t="s">
        <v>2590</v>
      </c>
      <c r="BE98" s="1249" t="str">
        <f>Application!M256</f>
        <v xml:space="preserve">tarun@ffah.org </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93" t="s">
        <v>2164</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248" t="s">
        <v>2592</v>
      </c>
      <c r="BE100" s="1249" t="str">
        <f>Application!L279</f>
        <v>amandel@metahousing.com</v>
      </c>
    </row>
    <row r="101" spans="1:57" ht="12.95"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2597</v>
      </c>
      <c r="BE101">
        <f>'Sources and Uses Budget'!C105</f>
        <v>58945214</v>
      </c>
    </row>
    <row r="102" spans="1:57" ht="12.95"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2598</v>
      </c>
      <c r="BE102" t="b">
        <f>T197="Yes"</f>
        <v>0</v>
      </c>
    </row>
    <row r="103" spans="1:57" ht="12.95"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3" t="s">
        <v>2165</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row>
    <row r="106" spans="1:57" ht="12.95"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7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7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7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v>1</v>
      </c>
      <c r="H113" s="1790"/>
      <c r="I113" s="3" t="s">
        <v>181</v>
      </c>
      <c r="L113" s="1790" t="s">
        <v>2618</v>
      </c>
      <c r="M113" s="1790"/>
      <c r="N113" s="1790"/>
      <c r="O113" s="1790"/>
      <c r="P113" s="1798" t="s">
        <v>2239</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493</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2619</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8" t="s">
        <v>468</v>
      </c>
      <c r="CV122" s="1689"/>
      <c r="CW122" s="14"/>
      <c r="CX122" s="14" t="s">
        <v>633</v>
      </c>
      <c r="CY122" s="14"/>
      <c r="CZ122" s="14"/>
      <c r="DA122" s="14"/>
      <c r="DB122" s="14"/>
      <c r="DC122" s="14"/>
      <c r="DD122" s="14"/>
      <c r="DE122" s="14"/>
      <c r="DF122" s="14"/>
      <c r="DG122" s="1685" t="str">
        <f>T189</f>
        <v>Los Angeles</v>
      </c>
      <c r="DH122" s="1686"/>
      <c r="DI122" s="1686"/>
      <c r="DJ122" s="1686"/>
      <c r="DK122" s="1686"/>
      <c r="DL122" s="1686"/>
      <c r="DM122" s="1687"/>
    </row>
    <row r="123" spans="1:117" ht="12.75" customHeight="1">
      <c r="A123" s="3"/>
      <c r="B123" s="3"/>
      <c r="T123" s="3"/>
      <c r="U123" s="3"/>
      <c r="V123" s="3"/>
      <c r="W123" s="3"/>
      <c r="X123" s="3"/>
      <c r="Y123" s="1797" t="s">
        <v>2620</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7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7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7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75" customHeight="1">
      <c r="A128" s="354"/>
      <c r="AL128" s="354"/>
      <c r="AM128" s="354"/>
      <c r="AN128" s="354"/>
      <c r="AO128" s="354"/>
      <c r="AP128" s="354"/>
      <c r="AQ128" s="354"/>
      <c r="AR128" s="354"/>
      <c r="AS128" s="354"/>
      <c r="AT128" s="354"/>
      <c r="AU128" s="354"/>
      <c r="AV128" s="354"/>
      <c r="AW128" s="354"/>
      <c r="AX128" s="354"/>
      <c r="AY128" s="354"/>
    </row>
    <row r="129" spans="1:51" ht="12.7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7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7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7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7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7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7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7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7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7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7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7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75" customHeight="1">
      <c r="BM152">
        <v>4</v>
      </c>
      <c r="BN152" s="3" t="s">
        <v>2464</v>
      </c>
    </row>
    <row r="153" spans="1:108" ht="12.95" customHeight="1">
      <c r="D153" t="s">
        <v>644</v>
      </c>
      <c r="O153" s="1427" t="s">
        <v>874</v>
      </c>
      <c r="P153" s="1428"/>
      <c r="Q153" s="1428"/>
      <c r="R153" s="1428"/>
      <c r="S153" s="1428"/>
      <c r="T153" s="1428"/>
      <c r="U153" s="1428"/>
      <c r="V153" s="1428"/>
      <c r="W153" s="1428"/>
      <c r="X153" s="1428"/>
      <c r="Y153" s="1428"/>
      <c r="Z153" s="1428"/>
      <c r="AA153" s="1428"/>
      <c r="AB153" s="1428"/>
      <c r="AC153" s="1428"/>
      <c r="AD153" s="1428"/>
      <c r="AE153" s="1428"/>
      <c r="AF153" s="1428"/>
      <c r="AG153" s="1428"/>
      <c r="AH153" s="142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528" t="s">
        <v>2613</v>
      </c>
      <c r="P154" s="1354"/>
      <c r="Q154" s="1354"/>
      <c r="R154" s="1354"/>
      <c r="S154" s="1354"/>
      <c r="T154" s="1354"/>
      <c r="U154" s="1354"/>
      <c r="V154" s="1354"/>
      <c r="W154" s="1354"/>
      <c r="X154" s="1354"/>
      <c r="Y154" s="1354"/>
      <c r="Z154" s="1354"/>
      <c r="AA154" s="1354"/>
      <c r="AB154" s="1354"/>
      <c r="AC154" s="1354"/>
      <c r="AD154" s="1354"/>
      <c r="AE154" s="1354"/>
      <c r="AF154" s="1354"/>
      <c r="AG154" s="1354"/>
      <c r="AH154" s="1354"/>
      <c r="BM154">
        <v>6</v>
      </c>
      <c r="BN154" s="3" t="s">
        <v>2467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0" t="s">
        <v>2612</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55" t="s">
        <v>2617</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306</v>
      </c>
      <c r="CB156" s="195" t="s">
        <v>2223</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27" t="s">
        <v>493</v>
      </c>
      <c r="P157" s="1428"/>
      <c r="Q157" s="1428"/>
      <c r="R157" s="1428"/>
      <c r="S157" s="1428"/>
      <c r="T157" s="1428"/>
      <c r="U157" s="1428"/>
      <c r="V157" s="1428"/>
      <c r="W157" s="1428"/>
      <c r="X157" s="142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4">
        <v>90017</v>
      </c>
      <c r="P158" s="1794"/>
      <c r="Q158" s="1794"/>
      <c r="R158" s="179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3" t="s">
        <v>2614</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3" t="s">
        <v>2615</v>
      </c>
      <c r="P160" s="1783"/>
      <c r="Q160" s="1783"/>
      <c r="R160" s="1783"/>
      <c r="S160" s="1783"/>
      <c r="T160" s="1783"/>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787" t="s">
        <v>2616</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5" t="s">
        <v>2215</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36" t="s">
        <v>538</v>
      </c>
      <c r="B169" s="1436"/>
      <c r="C169" s="1436"/>
      <c r="D169" s="1436"/>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c r="AA169" s="1436"/>
      <c r="AB169" s="1436"/>
      <c r="AC169" s="1436"/>
      <c r="AD169" s="1436"/>
      <c r="AE169" s="1436"/>
      <c r="AF169" s="1436"/>
      <c r="AG169" s="1436"/>
      <c r="AH169" s="1436"/>
      <c r="AI169" s="1436"/>
      <c r="AJ169" s="1436"/>
      <c r="AK169" s="1436"/>
      <c r="AL169" s="1436"/>
      <c r="AM169" s="1436"/>
      <c r="AN169" s="1436"/>
      <c r="AO169" s="1436"/>
      <c r="AP169" s="1436"/>
      <c r="AQ169" s="1436"/>
      <c r="AR169" s="1436"/>
      <c r="AS169" s="1436"/>
      <c r="AT169" s="143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36"/>
      <c r="B170" s="1436"/>
      <c r="C170" s="1436"/>
      <c r="D170" s="1436"/>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c r="AA170" s="1436"/>
      <c r="AB170" s="1436"/>
      <c r="AC170" s="1436"/>
      <c r="AD170" s="1436"/>
      <c r="AE170" s="1436"/>
      <c r="AF170" s="1436"/>
      <c r="AG170" s="1436"/>
      <c r="AH170" s="1436"/>
      <c r="AI170" s="1436"/>
      <c r="AJ170" s="1436"/>
      <c r="AK170" s="1436"/>
      <c r="AL170" s="1436"/>
      <c r="AM170" s="1436"/>
      <c r="AN170" s="1436"/>
      <c r="AO170" s="1436"/>
      <c r="AP170" s="1436"/>
      <c r="AQ170" s="1436"/>
      <c r="AR170" s="1436"/>
      <c r="AS170" s="1436"/>
      <c r="AT170" s="143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355" t="s">
        <v>2100</v>
      </c>
      <c r="K174" s="1355"/>
      <c r="L174" s="1355"/>
      <c r="M174" s="1355"/>
      <c r="N174" s="1355"/>
      <c r="O174" s="1355"/>
      <c r="P174" s="1355"/>
      <c r="Q174" s="1355"/>
      <c r="R174" s="1355"/>
      <c r="S174" s="1355"/>
      <c r="T174" s="1355"/>
      <c r="U174" s="1355"/>
      <c r="V174" s="1355"/>
      <c r="W174" s="1355"/>
      <c r="X174" s="1355"/>
      <c r="Y174" s="1355"/>
      <c r="Z174" s="1355"/>
      <c r="AA174" s="1355"/>
      <c r="AB174" s="1355"/>
      <c r="BB174" t="s">
        <v>1968</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3" t="s">
        <v>544</v>
      </c>
      <c r="V175" s="1333"/>
      <c r="BB175" t="s">
        <v>1936</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2078</v>
      </c>
      <c r="T176" s="27" t="s">
        <v>304</v>
      </c>
      <c r="U176" s="1439">
        <v>24</v>
      </c>
      <c r="V176" s="1439"/>
      <c r="W176" s="1" t="s">
        <v>305</v>
      </c>
      <c r="X176" s="1786">
        <v>475</v>
      </c>
      <c r="Y176" s="1786"/>
      <c r="BB176" t="s">
        <v>1969</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3" t="s">
        <v>668</v>
      </c>
      <c r="S177" s="1333"/>
      <c r="BB177" t="s">
        <v>2212</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1201</v>
      </c>
      <c r="AA178" t="s">
        <v>2078</v>
      </c>
      <c r="AE178" s="27" t="s">
        <v>304</v>
      </c>
      <c r="AF178" s="1785"/>
      <c r="AG178" s="1785"/>
      <c r="AH178" s="1" t="s">
        <v>305</v>
      </c>
      <c r="AI178" s="1799"/>
      <c r="AJ178" s="1799"/>
      <c r="AK178" s="1799"/>
      <c r="BB178" t="s">
        <v>2213</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2079</v>
      </c>
      <c r="X180" s="1333"/>
      <c r="Y180" s="1333"/>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350" t="str">
        <f>H18</f>
        <v xml:space="preserve">Warner Center II </v>
      </c>
      <c r="J184" s="1350"/>
      <c r="K184" s="1350"/>
      <c r="L184" s="1350"/>
      <c r="M184" s="1350"/>
      <c r="N184" s="1350"/>
      <c r="O184" s="1350"/>
      <c r="P184" s="1350"/>
      <c r="Q184" s="1350"/>
      <c r="R184" s="1350"/>
      <c r="S184" s="1350"/>
      <c r="T184" s="1350"/>
      <c r="U184" s="1350"/>
      <c r="V184" s="1350"/>
      <c r="W184" s="1350"/>
      <c r="X184" s="1350"/>
      <c r="Y184" s="1350"/>
      <c r="Z184" s="1350"/>
      <c r="AA184" s="1350"/>
      <c r="AB184" s="1350"/>
      <c r="AC184" s="1350"/>
      <c r="AD184" s="1350"/>
      <c r="AE184" s="1350"/>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454" t="s">
        <v>2628</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54"/>
      <c r="F188" s="1754"/>
      <c r="G188" s="1754"/>
      <c r="H188" s="1754"/>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427" t="s">
        <v>493</v>
      </c>
      <c r="J189" s="1355"/>
      <c r="K189" s="1355"/>
      <c r="L189" s="1355"/>
      <c r="M189" s="1355"/>
      <c r="N189" s="1355"/>
      <c r="O189" s="1355"/>
      <c r="P189" s="1355"/>
      <c r="Q189" t="s">
        <v>581</v>
      </c>
      <c r="T189" s="1355" t="s">
        <v>493</v>
      </c>
      <c r="U189" s="1355"/>
      <c r="V189" s="1355"/>
      <c r="W189" s="1355"/>
      <c r="X189" s="1355"/>
      <c r="Y189" s="1355"/>
      <c r="Z189" s="1355"/>
      <c r="AA189" s="1355"/>
      <c r="AB189" s="1355"/>
      <c r="AC189" s="1355"/>
      <c r="AD189" s="1355"/>
      <c r="AE189" s="135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454">
        <v>91367</v>
      </c>
      <c r="J190" s="1454"/>
      <c r="K190" s="1454"/>
      <c r="L190" s="1454"/>
      <c r="M190" s="1454"/>
      <c r="N190" s="1454"/>
      <c r="O190" t="s">
        <v>584</v>
      </c>
      <c r="T190" s="1791">
        <v>1371.04</v>
      </c>
      <c r="U190" s="1791"/>
      <c r="V190" s="1791"/>
      <c r="W190" s="1791"/>
      <c r="X190" s="1791"/>
      <c r="Y190" s="1791"/>
      <c r="Z190" s="1791"/>
      <c r="AA190" s="1791"/>
      <c r="AB190" s="1791"/>
      <c r="AC190" s="1791"/>
      <c r="AD190" s="1791"/>
      <c r="AE190" s="1791"/>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800" t="s">
        <v>2629</v>
      </c>
      <c r="O191" s="1800"/>
      <c r="P191" s="1800"/>
      <c r="Q191" s="1800"/>
      <c r="R191" s="1800"/>
      <c r="S191" s="1800"/>
      <c r="T191" s="1800"/>
      <c r="U191" s="1800"/>
      <c r="V191" s="1800"/>
      <c r="W191" s="1800"/>
      <c r="X191" s="1800"/>
      <c r="Y191" s="1800"/>
      <c r="Z191" s="1800"/>
      <c r="AA191" s="1800"/>
      <c r="AB191" s="1800"/>
      <c r="AC191" s="1800"/>
      <c r="AD191" s="1800"/>
      <c r="AE191" s="1800"/>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54"/>
      <c r="O192" s="1754"/>
      <c r="P192" s="1754"/>
      <c r="Q192" s="1754"/>
      <c r="R192" s="1754"/>
      <c r="S192" s="1754"/>
      <c r="T192" s="1754"/>
      <c r="U192" s="1754"/>
      <c r="V192" s="1754"/>
      <c r="W192" s="1754"/>
      <c r="X192" s="1754"/>
      <c r="Y192" s="1754"/>
      <c r="Z192" s="1754"/>
      <c r="AA192" s="1754"/>
      <c r="AB192" s="1754"/>
      <c r="AC192" s="1754"/>
      <c r="AD192" s="1754"/>
      <c r="AE192" s="1754"/>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6" t="s">
        <v>1936</v>
      </c>
      <c r="U193" s="1796"/>
      <c r="V193" s="1796"/>
      <c r="W193" s="1796"/>
      <c r="X193" s="1796"/>
      <c r="Y193" s="1796"/>
      <c r="Z193" s="1796"/>
      <c r="AA193" s="1796"/>
      <c r="AB193" s="1796"/>
      <c r="AC193" s="1796"/>
      <c r="AD193" s="1796"/>
      <c r="AE193" s="1796"/>
      <c r="AF193" s="1796"/>
      <c r="AG193" s="1796"/>
      <c r="AH193" s="1796"/>
      <c r="AI193" s="1796"/>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3" t="s">
        <v>668</v>
      </c>
      <c r="AI194" s="1333"/>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33" t="s">
        <v>544</v>
      </c>
      <c r="U195" s="1333"/>
      <c r="W195" t="s">
        <v>683</v>
      </c>
      <c r="AH195" s="1333">
        <v>32</v>
      </c>
      <c r="AI195" s="1333"/>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380" t="s">
        <v>668</v>
      </c>
      <c r="U196" s="1380"/>
      <c r="W196" t="s">
        <v>684</v>
      </c>
      <c r="AH196" s="1333">
        <v>46</v>
      </c>
      <c r="AI196" s="1333"/>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380" t="s">
        <v>668</v>
      </c>
      <c r="U197" s="1380"/>
      <c r="W197" t="s">
        <v>685</v>
      </c>
      <c r="AH197" s="1333">
        <v>27</v>
      </c>
      <c r="AI197" s="1333"/>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380"/>
      <c r="U198" s="1380"/>
      <c r="V198"/>
      <c r="X198" s="1424" t="s">
        <v>2513</v>
      </c>
      <c r="Y198" s="1424"/>
      <c r="Z198" s="1424"/>
      <c r="AA198" s="1424"/>
      <c r="AB198" s="1424"/>
      <c r="AC198" s="1424"/>
      <c r="AD198" s="1424"/>
      <c r="AE198" s="1424"/>
      <c r="AF198" s="1424"/>
      <c r="AG198" s="1424"/>
      <c r="AH198" s="1424"/>
      <c r="AI198" s="1424"/>
      <c r="AJ198" s="1424"/>
      <c r="AK198" s="1424"/>
      <c r="AL198" s="1424"/>
      <c r="AM198" s="1424"/>
      <c r="AN198" s="1424"/>
      <c r="AO198" s="1424"/>
      <c r="AP198" s="1424"/>
      <c r="AQ198" s="1424"/>
      <c r="AR198" s="1424"/>
      <c r="AS198" s="1424"/>
      <c r="AT198" s="142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3" t="s">
        <v>668</v>
      </c>
      <c r="U199" s="1333"/>
      <c r="V199"/>
      <c r="W199"/>
      <c r="X199" s="1424"/>
      <c r="Y199" s="1424"/>
      <c r="Z199" s="1424"/>
      <c r="AA199" s="1424"/>
      <c r="AB199" s="1424"/>
      <c r="AC199" s="1424"/>
      <c r="AD199" s="1424"/>
      <c r="AE199" s="1424"/>
      <c r="AF199" s="1424"/>
      <c r="AG199" s="1424"/>
      <c r="AH199" s="1424"/>
      <c r="AI199" s="1424"/>
      <c r="AJ199" s="1424"/>
      <c r="AK199" s="1424"/>
      <c r="AL199" s="1424"/>
      <c r="AM199" s="1424"/>
      <c r="AN199" s="1424"/>
      <c r="AO199" s="1424"/>
      <c r="AP199" s="1424"/>
      <c r="AQ199" s="1424"/>
      <c r="AR199" s="1424"/>
      <c r="AS199" s="1424"/>
      <c r="AT199" s="142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3" t="s">
        <v>668</v>
      </c>
      <c r="U200" s="1333"/>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0" t="s">
        <v>384</v>
      </c>
      <c r="E204" s="1350"/>
      <c r="F204" s="1350"/>
      <c r="G204" s="1350"/>
      <c r="H204" s="1350"/>
      <c r="I204" s="1350"/>
      <c r="J204" s="1350"/>
      <c r="K204" s="1350"/>
      <c r="L204" s="1350"/>
      <c r="M204" s="1350"/>
      <c r="P204" s="1806">
        <f>M26</f>
        <v>2846823</v>
      </c>
      <c r="Q204" s="1784"/>
      <c r="R204" s="1784"/>
      <c r="S204" s="1784"/>
      <c r="T204" s="1784"/>
      <c r="U204" s="1784"/>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789" t="s">
        <v>1245</v>
      </c>
      <c r="E205" s="1350"/>
      <c r="F205" s="1350"/>
      <c r="G205" s="1350"/>
      <c r="H205" s="1350"/>
      <c r="I205" s="1350"/>
      <c r="J205" s="1350"/>
      <c r="K205" s="1350"/>
      <c r="L205" s="1350"/>
      <c r="M205" s="1350"/>
      <c r="P205" s="1784">
        <f>M27</f>
        <v>7000000</v>
      </c>
      <c r="Q205" s="1784"/>
      <c r="R205" s="1784"/>
      <c r="S205" s="1784"/>
      <c r="T205" s="1784"/>
      <c r="U205" s="1784"/>
      <c r="V205" s="28"/>
      <c r="W205" s="3" t="s">
        <v>1718</v>
      </c>
      <c r="Z205" s="1801" t="s">
        <v>2218</v>
      </c>
      <c r="AA205" s="1801"/>
      <c r="AB205" s="1801"/>
      <c r="AC205" s="1801"/>
      <c r="AD205" s="1801"/>
      <c r="AE205" s="1801"/>
      <c r="AF205" s="1801"/>
      <c r="AG205" s="1801"/>
      <c r="AH205" s="1801"/>
      <c r="AI205" s="1801"/>
      <c r="AJ205" s="1801"/>
      <c r="AK205" s="1801"/>
      <c r="AL205" s="1801"/>
      <c r="AM205" s="1801"/>
      <c r="AN205" s="1801"/>
      <c r="AP205" s="1336"/>
      <c r="AQ205" s="133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28" t="s">
        <v>2630</v>
      </c>
      <c r="E208" s="1428"/>
      <c r="F208" s="1428"/>
      <c r="G208" s="1428"/>
      <c r="H208" s="1428"/>
      <c r="I208" s="1428"/>
      <c r="J208" s="1428"/>
      <c r="K208" s="1428"/>
      <c r="L208" s="1428"/>
      <c r="M208" s="1428"/>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8" t="s">
        <v>1039</v>
      </c>
      <c r="E211" s="1428"/>
      <c r="F211" s="1428"/>
      <c r="G211" s="1428"/>
      <c r="H211" s="1428"/>
      <c r="I211" s="1428"/>
      <c r="J211" s="1428"/>
      <c r="K211" s="1428"/>
      <c r="L211" s="1428"/>
      <c r="M211" s="142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3">
        <v>0</v>
      </c>
      <c r="R212" s="1333"/>
      <c r="T212" s="1812">
        <f>IFERROR(Q212/AG440,0)</f>
        <v>0</v>
      </c>
      <c r="U212" s="1813"/>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525</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746"/>
      <c r="AC215" s="1746"/>
      <c r="AD215" s="1746"/>
      <c r="AE215" s="1746"/>
      <c r="AF215" s="1746"/>
      <c r="AG215" s="1746"/>
      <c r="AH215" s="1746"/>
      <c r="AI215" s="1746"/>
      <c r="AJ215" s="1746"/>
      <c r="AK215" s="1746"/>
      <c r="AL215" s="1746"/>
      <c r="AM215" s="21"/>
      <c r="AN215" s="21"/>
      <c r="AO215" s="21"/>
      <c r="AP215" s="21"/>
      <c r="AQ215" s="21"/>
      <c r="AR215" s="21"/>
      <c r="AS215" s="21"/>
      <c r="AT215" s="21"/>
      <c r="AU215" s="21"/>
      <c r="AV215" s="21"/>
      <c r="AW215" s="21"/>
      <c r="AX215" s="21"/>
      <c r="AY215" s="21"/>
      <c r="BC215" t="s">
        <v>526</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746"/>
      <c r="AC216" s="1746"/>
      <c r="AD216" s="1746"/>
      <c r="AE216" s="1746"/>
      <c r="AF216" s="1746"/>
      <c r="AG216" s="1746"/>
      <c r="AH216" s="1746"/>
      <c r="AI216" s="1746"/>
      <c r="AJ216" s="1746"/>
      <c r="AK216" s="1746"/>
      <c r="AL216" s="1746"/>
      <c r="AM216" s="21"/>
      <c r="AN216" s="21"/>
      <c r="AO216" s="21"/>
      <c r="AP216" s="21"/>
      <c r="AQ216" s="21"/>
      <c r="AR216" s="21"/>
      <c r="AS216" s="21"/>
      <c r="AT216" s="21"/>
      <c r="AU216" s="21"/>
      <c r="AV216" s="21"/>
      <c r="AW216" s="21"/>
      <c r="AX216" s="21"/>
      <c r="AY216" s="21"/>
      <c r="BC216" t="s">
        <v>565</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2233</v>
      </c>
      <c r="D218" s="28"/>
      <c r="AC218" s="2" t="s">
        <v>2462</v>
      </c>
      <c r="BC218" t="s">
        <v>528</v>
      </c>
    </row>
    <row r="219" spans="1:108" ht="12.95" customHeight="1">
      <c r="A219" s="2"/>
      <c r="C219" s="2"/>
      <c r="D219" s="3" t="s">
        <v>2463</v>
      </c>
      <c r="AZ219" s="3"/>
      <c r="BA219" s="3"/>
      <c r="BC219" t="s">
        <v>376</v>
      </c>
    </row>
    <row r="220" spans="1:108" ht="12.95" customHeight="1">
      <c r="A220" s="2"/>
      <c r="C220" s="2"/>
      <c r="D220" s="1428" t="s">
        <v>874</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AC220" s="1788" t="s">
        <v>874</v>
      </c>
      <c r="AD220" s="1788"/>
      <c r="AE220" s="1788"/>
      <c r="AF220" s="1788"/>
      <c r="AG220" s="1788"/>
      <c r="AH220" s="1788"/>
      <c r="AI220" s="1788"/>
      <c r="AJ220" s="1788"/>
      <c r="AK220" s="1788"/>
      <c r="AL220" s="1788"/>
      <c r="AM220" s="1788"/>
      <c r="AN220" s="1788"/>
      <c r="AO220" s="1788"/>
      <c r="AP220" s="1788"/>
      <c r="AQ220" s="1788"/>
      <c r="BA220" s="3"/>
      <c r="BC220" t="s">
        <v>299</v>
      </c>
    </row>
    <row r="221" spans="1:108" ht="12.95" customHeight="1">
      <c r="A221" s="2"/>
      <c r="B221" s="14"/>
      <c r="C221" s="2"/>
      <c r="BA221" s="3"/>
    </row>
    <row r="222" spans="1:108" ht="12.95" customHeight="1">
      <c r="A222" s="1436" t="s">
        <v>539</v>
      </c>
      <c r="B222" s="1436"/>
      <c r="C222" s="1436"/>
      <c r="D222" s="1436"/>
      <c r="E222" s="1436"/>
      <c r="F222" s="1436"/>
      <c r="G222" s="1436"/>
      <c r="H222" s="1436"/>
      <c r="I222" s="1436"/>
      <c r="J222" s="1436"/>
      <c r="K222" s="1436"/>
      <c r="L222" s="1436"/>
      <c r="M222" s="1436"/>
      <c r="N222" s="1436"/>
      <c r="O222" s="1436"/>
      <c r="P222" s="1436"/>
      <c r="Q222" s="1436"/>
      <c r="R222" s="1436"/>
      <c r="S222" s="1436"/>
      <c r="T222" s="1436"/>
      <c r="U222" s="1436"/>
      <c r="V222" s="1436"/>
      <c r="W222" s="1436"/>
      <c r="X222" s="1436"/>
      <c r="Y222" s="1436"/>
      <c r="Z222" s="1436"/>
      <c r="AA222" s="1436"/>
      <c r="AB222" s="1436"/>
      <c r="AC222" s="1436"/>
      <c r="AD222" s="1436"/>
      <c r="AE222" s="1436"/>
      <c r="AF222" s="1436"/>
      <c r="AG222" s="1436"/>
      <c r="AH222" s="1436"/>
      <c r="AI222" s="1436"/>
      <c r="AJ222" s="1436"/>
      <c r="AK222" s="1436"/>
      <c r="AL222" s="1436"/>
      <c r="AM222" s="1436"/>
      <c r="AN222" s="1436"/>
      <c r="AO222" s="1436"/>
      <c r="AP222" s="1436"/>
      <c r="AQ222" s="1436"/>
      <c r="AR222" s="1436"/>
      <c r="AS222" s="1436"/>
      <c r="AT222" s="1436"/>
      <c r="AU222" s="95"/>
      <c r="AV222" s="95"/>
      <c r="AW222" s="95"/>
      <c r="AX222" s="95"/>
      <c r="AY222" s="95"/>
      <c r="AZ222" s="3"/>
      <c r="BA222" s="3"/>
      <c r="BP222" s="34"/>
    </row>
    <row r="223" spans="1:108" ht="12.95" customHeight="1">
      <c r="A223" s="1436"/>
      <c r="B223" s="1436"/>
      <c r="C223" s="1436"/>
      <c r="D223" s="1436"/>
      <c r="E223" s="1436"/>
      <c r="F223" s="1436"/>
      <c r="G223" s="1436"/>
      <c r="H223" s="1436"/>
      <c r="I223" s="1436"/>
      <c r="J223" s="1436"/>
      <c r="K223" s="1436"/>
      <c r="L223" s="1436"/>
      <c r="M223" s="1436"/>
      <c r="N223" s="1436"/>
      <c r="O223" s="1436"/>
      <c r="P223" s="1436"/>
      <c r="Q223" s="1436"/>
      <c r="R223" s="1436"/>
      <c r="S223" s="1436"/>
      <c r="T223" s="1436"/>
      <c r="U223" s="1436"/>
      <c r="V223" s="1436"/>
      <c r="W223" s="1436"/>
      <c r="X223" s="1436"/>
      <c r="Y223" s="1436"/>
      <c r="Z223" s="1436"/>
      <c r="AA223" s="1436"/>
      <c r="AB223" s="1436"/>
      <c r="AC223" s="1436"/>
      <c r="AD223" s="1436"/>
      <c r="AE223" s="1436"/>
      <c r="AF223" s="1436"/>
      <c r="AG223" s="1436"/>
      <c r="AH223" s="1436"/>
      <c r="AI223" s="1436"/>
      <c r="AJ223" s="1436"/>
      <c r="AK223" s="1436"/>
      <c r="AL223" s="1436"/>
      <c r="AM223" s="1436"/>
      <c r="AN223" s="1436"/>
      <c r="AO223" s="1436"/>
      <c r="AP223" s="1436"/>
      <c r="AQ223" s="1436"/>
      <c r="AR223" s="1436"/>
      <c r="AS223" s="1436"/>
      <c r="AT223" s="1436"/>
      <c r="BA223" s="3"/>
      <c r="BB223" s="3"/>
      <c r="BQ223" s="34"/>
    </row>
    <row r="224" spans="1:108" ht="12.95" customHeight="1">
      <c r="AZ224" s="4"/>
      <c r="BA224" s="3"/>
      <c r="BB224" s="3"/>
      <c r="BQ224" s="34"/>
    </row>
    <row r="225" spans="1:59" ht="12.9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544</v>
      </c>
      <c r="AJ226" s="1333"/>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590</v>
      </c>
      <c r="AJ227" s="1333"/>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590</v>
      </c>
      <c r="AJ228" s="1333"/>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590</v>
      </c>
      <c r="AJ229" s="1333"/>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2" t="str">
        <f>H16</f>
        <v xml:space="preserve">Warner Center II, L.P. </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537</v>
      </c>
      <c r="BG232" s="241">
        <f>IF(AND(AND($M$249="nonprofit",$M$257="nonprofit",$M$265="for profit")),2,0)</f>
        <v>0</v>
      </c>
    </row>
    <row r="233" spans="1:59" ht="12.95" customHeight="1">
      <c r="D233" s="4" t="s">
        <v>85</v>
      </c>
      <c r="E233" s="4"/>
      <c r="F233" s="4"/>
      <c r="G233" s="4"/>
      <c r="H233" s="4"/>
      <c r="I233" s="4"/>
      <c r="J233" s="4"/>
      <c r="K233" s="4"/>
      <c r="M233" s="1428" t="s">
        <v>2631</v>
      </c>
      <c r="N233" s="1428"/>
      <c r="O233" s="1428"/>
      <c r="P233" s="1428"/>
      <c r="Q233" s="1428"/>
      <c r="R233" s="1428"/>
      <c r="S233" s="1428"/>
      <c r="T233" s="1428"/>
      <c r="U233" s="1428"/>
      <c r="V233" s="1428"/>
      <c r="W233" s="1428"/>
      <c r="X233" s="1428"/>
      <c r="Y233" s="1428"/>
      <c r="Z233" s="1428"/>
      <c r="AA233" s="1428"/>
      <c r="AB233" s="1428"/>
      <c r="AC233" s="1428"/>
      <c r="AD233" s="1428"/>
      <c r="AE233" s="1428"/>
      <c r="BB233" s="205" t="s">
        <v>537</v>
      </c>
      <c r="BG233" s="241">
        <f>IF(AND(AND($M$249="nonprofit",$M$257="for profit",$M$265="nonprofit")),2,0)</f>
        <v>0</v>
      </c>
    </row>
    <row r="234" spans="1:59" ht="12.95" customHeight="1">
      <c r="D234" s="4" t="s">
        <v>579</v>
      </c>
      <c r="E234" s="4"/>
      <c r="M234" s="1427" t="s">
        <v>493</v>
      </c>
      <c r="N234" s="1428"/>
      <c r="O234" s="1428"/>
      <c r="P234" s="1428"/>
      <c r="Q234" s="1428"/>
      <c r="R234" s="1428"/>
      <c r="S234" s="1428"/>
      <c r="T234" s="1428"/>
      <c r="V234" s="33" t="s">
        <v>86</v>
      </c>
      <c r="W234" s="1528" t="s">
        <v>2632</v>
      </c>
      <c r="X234" s="1354"/>
      <c r="Y234" s="4" t="s">
        <v>582</v>
      </c>
      <c r="AC234" s="1428">
        <v>90064</v>
      </c>
      <c r="AD234" s="1428"/>
      <c r="AE234" s="142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27" t="s">
        <v>2633</v>
      </c>
      <c r="N235" s="1428"/>
      <c r="O235" s="1428"/>
      <c r="P235" s="1428"/>
      <c r="Q235" s="1428"/>
      <c r="R235" s="1428"/>
      <c r="S235" s="1428"/>
      <c r="T235" s="1428"/>
      <c r="U235" s="1428"/>
      <c r="V235" s="1428"/>
      <c r="W235" s="1428"/>
      <c r="X235" s="1428"/>
      <c r="Y235" s="1428"/>
      <c r="Z235" s="1428"/>
      <c r="AA235" s="1428"/>
      <c r="AB235" s="1428"/>
      <c r="AC235" s="1428"/>
      <c r="AD235" s="1428"/>
      <c r="AE235" s="1428"/>
      <c r="AI235" s="4"/>
      <c r="AJ235" s="4"/>
      <c r="AK235" s="4"/>
      <c r="AL235" s="4"/>
      <c r="AM235" s="4"/>
      <c r="AN235" s="4"/>
      <c r="AO235" s="4"/>
      <c r="AP235" s="4"/>
      <c r="AQ235" s="4"/>
      <c r="AR235" s="4"/>
      <c r="AS235" s="4"/>
      <c r="AT235" s="4"/>
      <c r="BB235" s="205"/>
      <c r="BG235" s="204"/>
    </row>
    <row r="236" spans="1:59" ht="12.95" customHeight="1">
      <c r="D236" s="4" t="s">
        <v>88</v>
      </c>
      <c r="E236" s="4"/>
      <c r="F236" s="4"/>
      <c r="M236" s="1782" t="s">
        <v>2641</v>
      </c>
      <c r="N236" s="1420"/>
      <c r="O236" s="1420"/>
      <c r="P236" s="1420"/>
      <c r="Q236" s="1420"/>
      <c r="R236" s="1420"/>
      <c r="S236" s="4" t="s">
        <v>205</v>
      </c>
      <c r="T236" s="4"/>
      <c r="U236" s="1354"/>
      <c r="V236" s="1354"/>
      <c r="W236" s="1354"/>
      <c r="X236" s="4" t="s">
        <v>89</v>
      </c>
      <c r="Z236" s="1420"/>
      <c r="AA236" s="1420"/>
      <c r="AB236" s="1420"/>
      <c r="AC236" s="1420"/>
      <c r="AD236" s="1420"/>
      <c r="AE236" s="1420"/>
      <c r="AU236" s="4"/>
      <c r="AV236" s="4"/>
      <c r="AW236" s="4"/>
      <c r="AX236" s="4"/>
      <c r="AY236" s="4"/>
      <c r="AZ236" s="4"/>
      <c r="BB236" s="204" t="s">
        <v>536</v>
      </c>
      <c r="BG236" s="241">
        <f>IF(AND(AND($M$249="nonprofit",$M$257="nonprofit",$M$265="(select one)")),1,0)</f>
        <v>0</v>
      </c>
    </row>
    <row r="237" spans="1:59" ht="12.95" customHeight="1">
      <c r="D237" s="4" t="s">
        <v>90</v>
      </c>
      <c r="E237" s="4"/>
      <c r="F237" s="4"/>
      <c r="M237" s="1787" t="s">
        <v>2634</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454" t="s">
        <v>527</v>
      </c>
      <c r="N238" s="1454"/>
      <c r="O238" s="1454"/>
      <c r="P238" s="1454"/>
      <c r="Q238" s="1454"/>
      <c r="R238" s="1454"/>
      <c r="S238" s="1454"/>
      <c r="T238" s="1454"/>
      <c r="U238" s="204" t="s">
        <v>905</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55"/>
      <c r="N239" s="1355"/>
      <c r="O239" s="1355"/>
      <c r="P239" s="1355"/>
      <c r="Q239" s="1355"/>
      <c r="R239" s="1355"/>
      <c r="S239" s="1355"/>
      <c r="T239" s="1355"/>
      <c r="U239" s="1355"/>
      <c r="V239" s="1355"/>
      <c r="W239" s="1355"/>
      <c r="X239" s="1355"/>
      <c r="Y239" s="1355"/>
      <c r="Z239" s="1355"/>
      <c r="AA239" s="1355"/>
      <c r="AB239" s="1355"/>
      <c r="AC239" s="1355"/>
      <c r="AD239" s="1355"/>
      <c r="AE239" s="1355"/>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30" t="s">
        <v>2622</v>
      </c>
      <c r="N243" s="1431"/>
      <c r="O243" s="1431"/>
      <c r="P243" s="1431"/>
      <c r="Q243" s="1431"/>
      <c r="R243" s="1431"/>
      <c r="S243" s="1431"/>
      <c r="T243" s="1431"/>
      <c r="U243" s="1431"/>
      <c r="V243" s="1431"/>
      <c r="W243" s="1431"/>
      <c r="X243" s="1431"/>
      <c r="Y243" s="1431"/>
      <c r="Z243" s="1431"/>
      <c r="AA243" s="1431"/>
      <c r="AB243" s="1431"/>
      <c r="AC243" s="1431"/>
      <c r="AD243" s="1431"/>
      <c r="AE243" s="1431"/>
      <c r="AF243" s="1431" t="s">
        <v>2623</v>
      </c>
      <c r="AG243" s="1431"/>
      <c r="AH243" s="1431"/>
      <c r="AI243" s="1431"/>
      <c r="AJ243" s="1431"/>
      <c r="AK243" s="143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28" t="s">
        <v>2631</v>
      </c>
      <c r="N244" s="1428"/>
      <c r="O244" s="1428"/>
      <c r="P244" s="1428"/>
      <c r="Q244" s="1428"/>
      <c r="R244" s="1428"/>
      <c r="S244" s="1428"/>
      <c r="T244" s="1428"/>
      <c r="U244" s="1428"/>
      <c r="V244" s="1428"/>
      <c r="W244" s="1428"/>
      <c r="X244" s="1428"/>
      <c r="Y244" s="1428"/>
      <c r="Z244" s="1428"/>
      <c r="AA244" s="1428"/>
      <c r="AB244" s="1428"/>
      <c r="AC244" s="1428"/>
      <c r="AD244" s="1428"/>
      <c r="AE244" s="1428"/>
      <c r="AF244" s="3" t="s">
        <v>1177</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27" t="s">
        <v>2635</v>
      </c>
      <c r="N245" s="1428"/>
      <c r="O245" s="1428"/>
      <c r="P245" s="1428"/>
      <c r="Q245" s="1428"/>
      <c r="R245" s="1428"/>
      <c r="S245" s="1428"/>
      <c r="T245" s="1428"/>
      <c r="V245" s="33" t="s">
        <v>86</v>
      </c>
      <c r="W245" s="1528" t="s">
        <v>2632</v>
      </c>
      <c r="X245" s="1354"/>
      <c r="Y245" s="4" t="s">
        <v>582</v>
      </c>
      <c r="AC245" s="1428">
        <v>90064</v>
      </c>
      <c r="AD245" s="1428"/>
      <c r="AE245" s="1428"/>
      <c r="AF245" s="3" t="s">
        <v>1178</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28" t="s">
        <v>2633</v>
      </c>
      <c r="N246" s="1428"/>
      <c r="O246" s="1428"/>
      <c r="P246" s="1428"/>
      <c r="Q246" s="1428"/>
      <c r="R246" s="1428"/>
      <c r="S246" s="1428"/>
      <c r="T246" s="1428"/>
      <c r="U246" s="1428"/>
      <c r="V246" s="1428"/>
      <c r="W246" s="1428"/>
      <c r="X246" s="1428"/>
      <c r="Y246" s="1428"/>
      <c r="Z246" s="1428"/>
      <c r="AA246" s="1428"/>
      <c r="AB246" s="1428"/>
      <c r="AC246" s="1428"/>
      <c r="AD246" s="1428"/>
      <c r="AE246" s="1428"/>
      <c r="AH246" s="1780">
        <v>5.1000000000000004E-3</v>
      </c>
      <c r="AI246" s="1780"/>
      <c r="AJ246" s="1780"/>
      <c r="AK246" s="1780"/>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782" t="s">
        <v>2641</v>
      </c>
      <c r="N247" s="1420"/>
      <c r="O247" s="1420"/>
      <c r="P247" s="1420"/>
      <c r="Q247" s="1420"/>
      <c r="R247" s="1420"/>
      <c r="S247" s="4" t="s">
        <v>205</v>
      </c>
      <c r="T247" s="4"/>
      <c r="U247" s="1354"/>
      <c r="V247" s="1354"/>
      <c r="W247" s="1354"/>
      <c r="X247" s="4" t="s">
        <v>89</v>
      </c>
      <c r="Z247" s="1420"/>
      <c r="AA247" s="1420"/>
      <c r="AB247" s="1420"/>
      <c r="AC247" s="1420"/>
      <c r="AD247" s="1420"/>
      <c r="AE247" s="1420"/>
      <c r="AU247" s="4"/>
      <c r="AV247" s="4"/>
      <c r="AW247" s="4"/>
      <c r="AX247" s="4"/>
      <c r="AY247" s="4"/>
      <c r="BG247">
        <v>0</v>
      </c>
      <c r="BH247" s="3" t="str">
        <f>""</f>
        <v/>
      </c>
      <c r="BN247" s="34"/>
    </row>
    <row r="248" spans="1:67" ht="12.95" customHeight="1">
      <c r="A248" s="19"/>
      <c r="B248" s="4"/>
      <c r="C248" s="4"/>
      <c r="D248" s="4" t="s">
        <v>90</v>
      </c>
      <c r="E248" s="4"/>
      <c r="F248" s="4"/>
      <c r="M248" s="1787" t="s">
        <v>2634</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454" t="s">
        <v>535</v>
      </c>
      <c r="N249" s="1454"/>
      <c r="O249" s="1454"/>
      <c r="P249" s="1454"/>
      <c r="Q249" s="1454"/>
      <c r="R249" s="1454"/>
      <c r="S249" s="1454"/>
      <c r="T249" s="1454"/>
      <c r="U249" s="204" t="s">
        <v>905</v>
      </c>
      <c r="V249" s="204"/>
      <c r="W249" s="204"/>
      <c r="X249" s="204"/>
      <c r="Y249" s="204"/>
      <c r="Z249" s="204"/>
      <c r="AA249" s="1777" t="s">
        <v>2621</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30" t="s">
        <v>2624</v>
      </c>
      <c r="N251" s="1431"/>
      <c r="O251" s="1431"/>
      <c r="P251" s="1431"/>
      <c r="Q251" s="1431"/>
      <c r="R251" s="1431"/>
      <c r="S251" s="1431"/>
      <c r="T251" s="1431"/>
      <c r="U251" s="1431"/>
      <c r="V251" s="1431"/>
      <c r="W251" s="1431"/>
      <c r="X251" s="1431"/>
      <c r="Y251" s="1431"/>
      <c r="Z251" s="1431"/>
      <c r="AA251" s="1431"/>
      <c r="AB251" s="1431"/>
      <c r="AC251" s="1431"/>
      <c r="AD251" s="1431"/>
      <c r="AE251" s="1431"/>
      <c r="AF251" s="1431" t="s">
        <v>2625</v>
      </c>
      <c r="AG251" s="1431"/>
      <c r="AH251" s="1431"/>
      <c r="AI251" s="1431"/>
      <c r="AJ251" s="1431"/>
      <c r="AK251" s="1431"/>
      <c r="AU251" s="4"/>
      <c r="AV251" s="4"/>
      <c r="AW251" s="4"/>
      <c r="AX251" s="4"/>
      <c r="AY251" s="4"/>
      <c r="BN251" s="34"/>
    </row>
    <row r="252" spans="1:67" ht="12.95" customHeight="1">
      <c r="A252" s="19"/>
      <c r="B252" s="4"/>
      <c r="C252" s="4"/>
      <c r="D252" s="4" t="s">
        <v>85</v>
      </c>
      <c r="E252" s="4"/>
      <c r="F252" s="4"/>
      <c r="G252" s="4"/>
      <c r="H252" s="4"/>
      <c r="I252" s="4"/>
      <c r="J252" s="4"/>
      <c r="K252" s="4"/>
      <c r="L252" s="4"/>
      <c r="M252" s="1427" t="s">
        <v>2636</v>
      </c>
      <c r="N252" s="1428"/>
      <c r="O252" s="1428"/>
      <c r="P252" s="1428"/>
      <c r="Q252" s="1428"/>
      <c r="R252" s="1428"/>
      <c r="S252" s="1428"/>
      <c r="T252" s="1428"/>
      <c r="U252" s="1428"/>
      <c r="V252" s="1428"/>
      <c r="W252" s="1428"/>
      <c r="X252" s="1428"/>
      <c r="Y252" s="1428"/>
      <c r="Z252" s="1428"/>
      <c r="AA252" s="1428"/>
      <c r="AB252" s="1428"/>
      <c r="AC252" s="1428"/>
      <c r="AD252" s="1428"/>
      <c r="AE252" s="1428"/>
      <c r="AF252" s="3" t="s">
        <v>1177</v>
      </c>
      <c r="AL252" s="4"/>
      <c r="AM252" s="4"/>
      <c r="AN252" s="4"/>
      <c r="AO252" s="4"/>
      <c r="AP252" s="4"/>
      <c r="AQ252" s="4"/>
      <c r="AR252" s="4"/>
      <c r="AS252" s="4"/>
      <c r="AT252" s="4"/>
      <c r="BN252" s="34"/>
    </row>
    <row r="253" spans="1:67" ht="12.95" customHeight="1">
      <c r="A253" s="19"/>
      <c r="B253" s="4"/>
      <c r="C253" s="4"/>
      <c r="D253" s="4" t="s">
        <v>579</v>
      </c>
      <c r="E253" s="4"/>
      <c r="M253" s="1428" t="s">
        <v>2637</v>
      </c>
      <c r="N253" s="1428"/>
      <c r="O253" s="1428"/>
      <c r="P253" s="1428"/>
      <c r="Q253" s="1428"/>
      <c r="R253" s="1428"/>
      <c r="S253" s="1428"/>
      <c r="T253" s="1428"/>
      <c r="V253" s="33" t="s">
        <v>86</v>
      </c>
      <c r="W253" s="1528" t="s">
        <v>2632</v>
      </c>
      <c r="X253" s="1354"/>
      <c r="Y253" s="4" t="s">
        <v>582</v>
      </c>
      <c r="AC253" s="1428">
        <v>92612</v>
      </c>
      <c r="AD253" s="1428"/>
      <c r="AE253" s="1428"/>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28" t="s">
        <v>2619</v>
      </c>
      <c r="N254" s="1428"/>
      <c r="O254" s="1428"/>
      <c r="P254" s="1428"/>
      <c r="Q254" s="1428"/>
      <c r="R254" s="1428"/>
      <c r="S254" s="1428"/>
      <c r="T254" s="1428"/>
      <c r="U254" s="1428"/>
      <c r="V254" s="1428"/>
      <c r="W254" s="1428"/>
      <c r="X254" s="1428"/>
      <c r="Y254" s="1428"/>
      <c r="Z254" s="1428"/>
      <c r="AA254" s="1428"/>
      <c r="AB254" s="1428"/>
      <c r="AC254" s="1428"/>
      <c r="AD254" s="1428"/>
      <c r="AE254" s="1428"/>
      <c r="AH254" s="1260" t="s">
        <v>2717</v>
      </c>
      <c r="AI254" s="1260"/>
      <c r="AJ254" s="1260"/>
      <c r="AK254" s="1260"/>
      <c r="AL254" s="4"/>
      <c r="AM254" s="4"/>
      <c r="AN254" s="4"/>
      <c r="AO254" s="4"/>
      <c r="AP254" s="4"/>
      <c r="AQ254" s="4"/>
      <c r="AR254" s="4"/>
      <c r="AS254" s="4"/>
      <c r="AT254" s="4"/>
    </row>
    <row r="255" spans="1:67" ht="12.95" customHeight="1">
      <c r="A255" s="19"/>
      <c r="B255" s="4"/>
      <c r="C255" s="4"/>
      <c r="D255" s="4" t="s">
        <v>88</v>
      </c>
      <c r="E255" s="4"/>
      <c r="F255" s="4"/>
      <c r="M255" s="1782" t="s">
        <v>2747</v>
      </c>
      <c r="N255" s="1420"/>
      <c r="O255" s="1420"/>
      <c r="P255" s="1420"/>
      <c r="Q255" s="1420"/>
      <c r="R255" s="1420"/>
      <c r="S255" s="4" t="s">
        <v>205</v>
      </c>
      <c r="T255" s="4"/>
      <c r="U255" s="1354"/>
      <c r="V255" s="1354"/>
      <c r="W255" s="1354"/>
      <c r="X255" s="4" t="s">
        <v>89</v>
      </c>
      <c r="Z255" s="1420"/>
      <c r="AA255" s="1420"/>
      <c r="AB255" s="1420"/>
      <c r="AC255" s="1420"/>
      <c r="AD255" s="1420"/>
      <c r="AE255" s="1420"/>
      <c r="AU255" s="4"/>
      <c r="AV255" s="4"/>
      <c r="AW255" s="4"/>
      <c r="AX255" s="4"/>
      <c r="AY255" s="4"/>
      <c r="BN255" s="34"/>
    </row>
    <row r="256" spans="1:67" ht="12.95" customHeight="1">
      <c r="A256" s="19"/>
      <c r="B256" s="4"/>
      <c r="C256" s="4"/>
      <c r="D256" s="4" t="s">
        <v>90</v>
      </c>
      <c r="E256" s="4"/>
      <c r="F256" s="4"/>
      <c r="M256" s="1787" t="s">
        <v>2638</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454" t="s">
        <v>533</v>
      </c>
      <c r="N257" s="1454"/>
      <c r="O257" s="1454"/>
      <c r="P257" s="1454"/>
      <c r="Q257" s="1454"/>
      <c r="R257" s="1454"/>
      <c r="S257" s="1454"/>
      <c r="T257" s="1454"/>
      <c r="U257" s="204" t="s">
        <v>905</v>
      </c>
      <c r="V257" s="204"/>
      <c r="W257" s="204"/>
      <c r="X257" s="204"/>
      <c r="Y257" s="204"/>
      <c r="Z257" s="204"/>
      <c r="AA257" s="1777" t="s">
        <v>2626</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30"/>
      <c r="N259" s="1431"/>
      <c r="O259" s="1431"/>
      <c r="P259" s="1431"/>
      <c r="Q259" s="1431"/>
      <c r="R259" s="1431"/>
      <c r="S259" s="1431"/>
      <c r="T259" s="1431"/>
      <c r="U259" s="1431"/>
      <c r="V259" s="1431"/>
      <c r="W259" s="1431"/>
      <c r="X259" s="1431"/>
      <c r="Y259" s="1431"/>
      <c r="Z259" s="1431"/>
      <c r="AA259" s="1431"/>
      <c r="AB259" s="1431"/>
      <c r="AC259" s="1431"/>
      <c r="AD259" s="1431"/>
      <c r="AE259" s="1431"/>
      <c r="AF259" s="1431" t="s">
        <v>306</v>
      </c>
      <c r="AG259" s="1431"/>
      <c r="AH259" s="1431"/>
      <c r="AI259" s="1431"/>
      <c r="AJ259" s="1431"/>
      <c r="AK259" s="143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8"/>
      <c r="N260" s="1428"/>
      <c r="O260" s="1428"/>
      <c r="P260" s="1428"/>
      <c r="Q260" s="1428"/>
      <c r="R260" s="1428"/>
      <c r="S260" s="1428"/>
      <c r="T260" s="1428"/>
      <c r="U260" s="1428"/>
      <c r="V260" s="1428"/>
      <c r="W260" s="1428"/>
      <c r="X260" s="1428"/>
      <c r="Y260" s="1428"/>
      <c r="Z260" s="1428"/>
      <c r="AA260" s="1428"/>
      <c r="AB260" s="1428"/>
      <c r="AC260" s="1428"/>
      <c r="AD260" s="1428"/>
      <c r="AE260" s="1428"/>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28"/>
      <c r="N261" s="1428"/>
      <c r="O261" s="1428"/>
      <c r="P261" s="1428"/>
      <c r="Q261" s="1428"/>
      <c r="R261" s="1428"/>
      <c r="S261" s="1428"/>
      <c r="T261" s="1428"/>
      <c r="V261" s="33" t="s">
        <v>86</v>
      </c>
      <c r="W261" s="1354"/>
      <c r="X261" s="1354"/>
      <c r="Y261" s="4" t="s">
        <v>582</v>
      </c>
      <c r="AC261" s="1428"/>
      <c r="AD261" s="1428"/>
      <c r="AE261" s="1428"/>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8"/>
      <c r="N262" s="1428"/>
      <c r="O262" s="1428"/>
      <c r="P262" s="1428"/>
      <c r="Q262" s="1428"/>
      <c r="R262" s="1428"/>
      <c r="S262" s="1428"/>
      <c r="T262" s="1428"/>
      <c r="U262" s="1428"/>
      <c r="V262" s="1428"/>
      <c r="W262" s="1428"/>
      <c r="X262" s="1428"/>
      <c r="Y262" s="1428"/>
      <c r="Z262" s="1428"/>
      <c r="AA262" s="1428"/>
      <c r="AB262" s="1428"/>
      <c r="AC262" s="1428"/>
      <c r="AD262" s="1428"/>
      <c r="AE262" s="142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20"/>
      <c r="N263" s="1420"/>
      <c r="O263" s="1420"/>
      <c r="P263" s="1420"/>
      <c r="Q263" s="1420"/>
      <c r="R263" s="1420"/>
      <c r="S263" s="4" t="s">
        <v>205</v>
      </c>
      <c r="T263" s="4"/>
      <c r="U263" s="1354"/>
      <c r="V263" s="1354"/>
      <c r="W263" s="1354"/>
      <c r="X263" s="4" t="s">
        <v>89</v>
      </c>
      <c r="Z263" s="1420"/>
      <c r="AA263" s="1420"/>
      <c r="AB263" s="1420"/>
      <c r="AC263" s="1420"/>
      <c r="AD263" s="1420"/>
      <c r="AE263" s="142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454" t="s">
        <v>306</v>
      </c>
      <c r="N265" s="1454"/>
      <c r="O265" s="1454"/>
      <c r="P265" s="1454"/>
      <c r="Q265" s="1454"/>
      <c r="R265" s="1454"/>
      <c r="S265" s="1454"/>
      <c r="T265" s="1454"/>
      <c r="U265" s="204" t="s">
        <v>905</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28" t="s">
        <v>279</v>
      </c>
      <c r="E270" s="1428"/>
      <c r="F270" s="1428"/>
      <c r="G270" s="1428"/>
      <c r="H270" s="1428"/>
      <c r="J270" t="s">
        <v>278</v>
      </c>
      <c r="X270" s="1703"/>
      <c r="Y270" s="1703"/>
      <c r="Z270" s="1703"/>
      <c r="AA270" s="1703"/>
      <c r="AB270" s="1703"/>
      <c r="AC270" s="170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31" t="s">
        <v>2639</v>
      </c>
      <c r="M274" s="1431"/>
      <c r="N274" s="1431"/>
      <c r="O274" s="1431"/>
      <c r="P274" s="1431"/>
      <c r="Q274" s="1431"/>
      <c r="R274" s="1431"/>
      <c r="S274" s="1431"/>
      <c r="T274" s="1431"/>
      <c r="U274" s="1431"/>
      <c r="V274" s="1431"/>
      <c r="W274" s="1431"/>
      <c r="X274" s="1431"/>
      <c r="Y274" s="1431"/>
      <c r="Z274" s="1431"/>
      <c r="AA274" s="1431"/>
      <c r="AB274" s="1431"/>
      <c r="AC274" s="1431"/>
      <c r="AD274" s="1431"/>
      <c r="AE274" s="1431"/>
      <c r="AF274" s="1431"/>
      <c r="AG274" s="1431"/>
      <c r="AH274" s="1431"/>
      <c r="AI274" s="1431"/>
      <c r="AJ274" s="143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8" t="s">
        <v>2631</v>
      </c>
      <c r="M275" s="1428"/>
      <c r="N275" s="1428"/>
      <c r="O275" s="1428"/>
      <c r="P275" s="1428"/>
      <c r="Q275" s="1428"/>
      <c r="R275" s="1428"/>
      <c r="S275" s="1428"/>
      <c r="T275" s="1428"/>
      <c r="U275" s="1428"/>
      <c r="V275" s="1428"/>
      <c r="W275" s="1428"/>
      <c r="X275" s="1428"/>
      <c r="Y275" s="1428"/>
      <c r="Z275" s="1428"/>
      <c r="AA275" s="1428"/>
      <c r="AB275" s="1428"/>
      <c r="AC275" s="1428"/>
      <c r="AD275" s="1428"/>
      <c r="AK275" s="3"/>
      <c r="AL275" s="3"/>
      <c r="AM275" s="3"/>
      <c r="AN275" s="3"/>
      <c r="AO275" s="3"/>
      <c r="AP275" s="3"/>
      <c r="AQ275" s="3"/>
      <c r="AR275" s="3"/>
      <c r="AS275" s="3"/>
      <c r="AT275" s="3"/>
      <c r="AU275" s="3"/>
      <c r="AV275" s="3"/>
      <c r="AW275" s="3"/>
      <c r="AX275" s="3"/>
      <c r="AY275" s="3"/>
    </row>
    <row r="276" spans="1:51" ht="12.95" customHeight="1">
      <c r="D276" s="4" t="s">
        <v>579</v>
      </c>
      <c r="E276" s="4"/>
      <c r="L276" s="1427" t="s">
        <v>2635</v>
      </c>
      <c r="M276" s="1428"/>
      <c r="N276" s="1428"/>
      <c r="O276" s="1428"/>
      <c r="P276" s="1428"/>
      <c r="Q276" s="1428"/>
      <c r="R276" s="1428"/>
      <c r="S276" s="1428"/>
      <c r="U276" s="33" t="s">
        <v>86</v>
      </c>
      <c r="V276" s="1528" t="s">
        <v>2632</v>
      </c>
      <c r="W276" s="1354"/>
      <c r="X276" s="4" t="s">
        <v>582</v>
      </c>
      <c r="AB276" s="1428">
        <v>90064</v>
      </c>
      <c r="AC276" s="1428"/>
      <c r="AD276" s="14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7" t="s">
        <v>2640</v>
      </c>
      <c r="M277" s="1428"/>
      <c r="N277" s="1428"/>
      <c r="O277" s="1428"/>
      <c r="P277" s="1428"/>
      <c r="Q277" s="1428"/>
      <c r="R277" s="1428"/>
      <c r="S277" s="1428"/>
      <c r="T277" s="1428"/>
      <c r="U277" s="1428"/>
      <c r="V277" s="1428"/>
      <c r="W277" s="1428"/>
      <c r="X277" s="1428"/>
      <c r="Y277" s="1428"/>
      <c r="Z277" s="1428"/>
      <c r="AA277" s="1428"/>
      <c r="AB277" s="1428"/>
      <c r="AC277" s="1428"/>
      <c r="AD277" s="1428"/>
      <c r="AI277" s="4"/>
      <c r="AJ277" s="4"/>
      <c r="AK277" s="3"/>
      <c r="AL277" s="3"/>
      <c r="AM277" s="3"/>
      <c r="AN277" s="3"/>
      <c r="AO277" s="3"/>
      <c r="AP277" s="3"/>
      <c r="AQ277" s="3"/>
      <c r="AR277" s="3"/>
      <c r="AS277" s="3"/>
      <c r="AT277" s="3"/>
    </row>
    <row r="278" spans="1:51" ht="12.95" customHeight="1">
      <c r="D278" s="4" t="s">
        <v>88</v>
      </c>
      <c r="E278" s="4"/>
      <c r="F278" s="4"/>
      <c r="L278" s="1420" t="s">
        <v>2641</v>
      </c>
      <c r="M278" s="1420"/>
      <c r="N278" s="1420"/>
      <c r="O278" s="1420"/>
      <c r="P278" s="1420"/>
      <c r="Q278" s="1420"/>
      <c r="R278" s="4" t="s">
        <v>205</v>
      </c>
      <c r="S278" s="4"/>
      <c r="T278" s="1354">
        <v>109</v>
      </c>
      <c r="U278" s="1354"/>
      <c r="V278" s="1354"/>
      <c r="W278" s="4" t="s">
        <v>89</v>
      </c>
      <c r="Y278" s="1420" t="s">
        <v>2642</v>
      </c>
      <c r="Z278" s="1420"/>
      <c r="AA278" s="1420"/>
      <c r="AB278" s="1420"/>
      <c r="AC278" s="1420"/>
      <c r="AD278" s="1420"/>
    </row>
    <row r="279" spans="1:51" ht="12.95" customHeight="1">
      <c r="D279" s="4" t="s">
        <v>90</v>
      </c>
      <c r="E279" s="4"/>
      <c r="F279" s="4"/>
      <c r="L279" s="1787" t="s">
        <v>2643</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622</v>
      </c>
      <c r="E280" s="3"/>
      <c r="F280" s="3"/>
      <c r="G280" s="3"/>
      <c r="H280" s="3"/>
      <c r="I280" s="3"/>
      <c r="L280" s="1528" t="s">
        <v>2644</v>
      </c>
      <c r="M280" s="1528"/>
      <c r="N280" s="1528"/>
      <c r="O280" s="1528"/>
      <c r="P280" s="1528"/>
      <c r="Q280" s="1528"/>
      <c r="R280" s="1528"/>
      <c r="S280" s="1528"/>
      <c r="T280" s="1528"/>
      <c r="U280" s="1528"/>
      <c r="V280" s="1528"/>
      <c r="W280" s="1528"/>
      <c r="X280" s="1528"/>
      <c r="Y280" s="1528"/>
      <c r="Z280" s="1528"/>
      <c r="AA280" s="1528"/>
      <c r="AB280" s="1528"/>
      <c r="AC280" s="1528"/>
      <c r="AD280" s="1528"/>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36" t="s">
        <v>540</v>
      </c>
      <c r="B282" s="1436"/>
      <c r="C282" s="1436"/>
      <c r="D282" s="1436"/>
      <c r="E282" s="1436"/>
      <c r="F282" s="1436"/>
      <c r="G282" s="1436"/>
      <c r="H282" s="1436"/>
      <c r="I282" s="1436"/>
      <c r="J282" s="1436"/>
      <c r="K282" s="1436"/>
      <c r="L282" s="1436"/>
      <c r="M282" s="1436"/>
      <c r="N282" s="1436"/>
      <c r="O282" s="1436"/>
      <c r="P282" s="1436"/>
      <c r="Q282" s="1436"/>
      <c r="R282" s="1436"/>
      <c r="S282" s="1436"/>
      <c r="T282" s="1436"/>
      <c r="U282" s="1436"/>
      <c r="V282" s="1436"/>
      <c r="W282" s="1436"/>
      <c r="X282" s="1436"/>
      <c r="Y282" s="1436"/>
      <c r="Z282" s="1436"/>
      <c r="AA282" s="1436"/>
      <c r="AB282" s="1436"/>
      <c r="AC282" s="1436"/>
      <c r="AD282" s="1436"/>
      <c r="AE282" s="1436"/>
      <c r="AF282" s="1436"/>
      <c r="AG282" s="1436"/>
      <c r="AH282" s="1436"/>
      <c r="AI282" s="1436"/>
      <c r="AJ282" s="1436"/>
      <c r="AK282" s="1436"/>
      <c r="AL282" s="1436"/>
      <c r="AM282" s="1436"/>
      <c r="AN282" s="1436"/>
      <c r="AO282" s="1436"/>
      <c r="AP282" s="1436"/>
      <c r="AQ282" s="1436"/>
      <c r="AR282" s="1436"/>
      <c r="AS282" s="1436"/>
      <c r="AT282" s="1436"/>
      <c r="AU282" s="95"/>
      <c r="AV282" s="95"/>
      <c r="AW282" s="95"/>
      <c r="AX282" s="95"/>
      <c r="AY282" s="95"/>
    </row>
    <row r="283" spans="1:51" ht="12.95" customHeight="1">
      <c r="A283" s="1436"/>
      <c r="B283" s="1436"/>
      <c r="C283" s="1436"/>
      <c r="D283" s="1436"/>
      <c r="E283" s="1436"/>
      <c r="F283" s="1436"/>
      <c r="G283" s="1436"/>
      <c r="H283" s="1436"/>
      <c r="I283" s="1436"/>
      <c r="J283" s="1436"/>
      <c r="K283" s="1436"/>
      <c r="L283" s="1436"/>
      <c r="M283" s="1436"/>
      <c r="N283" s="1436"/>
      <c r="O283" s="1436"/>
      <c r="P283" s="1436"/>
      <c r="Q283" s="1436"/>
      <c r="R283" s="1436"/>
      <c r="S283" s="1436"/>
      <c r="T283" s="1436"/>
      <c r="U283" s="1436"/>
      <c r="V283" s="1436"/>
      <c r="W283" s="1436"/>
      <c r="X283" s="1436"/>
      <c r="Y283" s="1436"/>
      <c r="Z283" s="1436"/>
      <c r="AA283" s="1436"/>
      <c r="AB283" s="1436"/>
      <c r="AC283" s="1436"/>
      <c r="AD283" s="1436"/>
      <c r="AE283" s="1436"/>
      <c r="AF283" s="1436"/>
      <c r="AG283" s="1436"/>
      <c r="AH283" s="1436"/>
      <c r="AI283" s="1436"/>
      <c r="AJ283" s="1436"/>
      <c r="AK283" s="1436"/>
      <c r="AL283" s="1436"/>
      <c r="AM283" s="1436"/>
      <c r="AN283" s="1436"/>
      <c r="AO283" s="1436"/>
      <c r="AP283" s="1436"/>
      <c r="AQ283" s="1436"/>
      <c r="AR283" s="1436"/>
      <c r="AS283" s="1436"/>
      <c r="AT283" s="14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55" t="s">
        <v>2621</v>
      </c>
      <c r="I287" s="1355"/>
      <c r="J287" s="1355"/>
      <c r="K287" s="1355"/>
      <c r="L287" s="1355"/>
      <c r="M287" s="1355"/>
      <c r="N287" s="1355"/>
      <c r="O287" s="1355"/>
      <c r="P287" s="1355"/>
      <c r="Q287" s="1355"/>
      <c r="R287" s="1355"/>
      <c r="T287" s="3" t="s">
        <v>566</v>
      </c>
      <c r="V287" s="3"/>
      <c r="W287" s="3"/>
      <c r="X287" s="3"/>
      <c r="Y287" s="3"/>
      <c r="AA287" s="1355" t="s">
        <v>2646</v>
      </c>
      <c r="AB287" s="1355"/>
      <c r="AC287" s="1355"/>
      <c r="AD287" s="1355"/>
      <c r="AE287" s="1355"/>
      <c r="AF287" s="1355"/>
      <c r="AG287" s="1355"/>
      <c r="AH287" s="1355"/>
      <c r="AI287" s="1355"/>
      <c r="AJ287" s="1355"/>
      <c r="AK287" s="1355"/>
    </row>
    <row r="288" spans="1:51" ht="12.95" customHeight="1">
      <c r="B288" s="3" t="s">
        <v>470</v>
      </c>
      <c r="C288" s="3"/>
      <c r="D288" s="3"/>
      <c r="E288" s="3"/>
      <c r="F288" s="3"/>
      <c r="H288" s="1454" t="s">
        <v>2631</v>
      </c>
      <c r="I288" s="1454"/>
      <c r="J288" s="1454"/>
      <c r="K288" s="1454"/>
      <c r="L288" s="1454"/>
      <c r="M288" s="1454"/>
      <c r="N288" s="1454"/>
      <c r="O288" s="1454"/>
      <c r="P288" s="1454"/>
      <c r="Q288" s="1454"/>
      <c r="R288" s="1454"/>
      <c r="T288" s="3" t="s">
        <v>470</v>
      </c>
      <c r="V288" s="3"/>
      <c r="W288" s="3"/>
      <c r="X288" s="3"/>
      <c r="Y288" s="3"/>
      <c r="AA288" s="1528" t="s">
        <v>2647</v>
      </c>
      <c r="AB288" s="1454"/>
      <c r="AC288" s="1454"/>
      <c r="AD288" s="1454"/>
      <c r="AE288" s="1454"/>
      <c r="AF288" s="1454"/>
      <c r="AG288" s="1454"/>
      <c r="AH288" s="1454"/>
      <c r="AI288" s="1454"/>
      <c r="AJ288" s="1454"/>
      <c r="AK288" s="1454"/>
    </row>
    <row r="289" spans="2:37" ht="12.95" customHeight="1">
      <c r="B289" s="3" t="s">
        <v>471</v>
      </c>
      <c r="C289" s="3"/>
      <c r="D289" s="3"/>
      <c r="E289" s="3"/>
      <c r="F289" s="3"/>
      <c r="H289" s="1454" t="s">
        <v>2645</v>
      </c>
      <c r="I289" s="1454"/>
      <c r="J289" s="1454"/>
      <c r="K289" s="1454"/>
      <c r="L289" s="1454"/>
      <c r="M289" s="1454"/>
      <c r="N289" s="1454"/>
      <c r="O289" s="1454"/>
      <c r="P289" s="1454"/>
      <c r="Q289" s="1454"/>
      <c r="R289" s="1454"/>
      <c r="T289" s="3" t="s">
        <v>75</v>
      </c>
      <c r="V289" s="3"/>
      <c r="W289" s="3"/>
      <c r="X289" s="3"/>
      <c r="Y289" s="3"/>
      <c r="AA289" s="1528" t="s">
        <v>2648</v>
      </c>
      <c r="AB289" s="1454"/>
      <c r="AC289" s="1454"/>
      <c r="AD289" s="1454"/>
      <c r="AE289" s="1454"/>
      <c r="AF289" s="1454"/>
      <c r="AG289" s="1454"/>
      <c r="AH289" s="1454"/>
      <c r="AI289" s="1454"/>
      <c r="AJ289" s="1454"/>
      <c r="AK289" s="1454"/>
    </row>
    <row r="290" spans="2:37" ht="12.95" customHeight="1">
      <c r="B290" s="3" t="s">
        <v>87</v>
      </c>
      <c r="C290" s="3"/>
      <c r="D290" s="3"/>
      <c r="E290" s="3"/>
      <c r="F290" s="3"/>
      <c r="H290" s="1454" t="s">
        <v>2640</v>
      </c>
      <c r="I290" s="1454"/>
      <c r="J290" s="1454"/>
      <c r="K290" s="1454"/>
      <c r="L290" s="1454"/>
      <c r="M290" s="1454"/>
      <c r="N290" s="1454"/>
      <c r="O290" s="1454"/>
      <c r="P290" s="1454"/>
      <c r="Q290" s="1454"/>
      <c r="R290" s="1454"/>
      <c r="T290" s="3" t="s">
        <v>87</v>
      </c>
      <c r="V290" s="3"/>
      <c r="W290" s="3"/>
      <c r="X290" s="3"/>
      <c r="Y290" s="3"/>
      <c r="AA290" s="1454" t="s">
        <v>2649</v>
      </c>
      <c r="AB290" s="1454"/>
      <c r="AC290" s="1454"/>
      <c r="AD290" s="1454"/>
      <c r="AE290" s="1454"/>
      <c r="AF290" s="1454"/>
      <c r="AG290" s="1454"/>
      <c r="AH290" s="1454"/>
      <c r="AI290" s="1454"/>
      <c r="AJ290" s="1454"/>
      <c r="AK290" s="1454"/>
    </row>
    <row r="291" spans="2:37" ht="12.95" customHeight="1">
      <c r="B291" s="3" t="s">
        <v>88</v>
      </c>
      <c r="C291" s="3"/>
      <c r="D291" s="3"/>
      <c r="E291" s="3"/>
      <c r="F291" s="3"/>
      <c r="G291" s="3"/>
      <c r="H291" s="1437" t="s">
        <v>2641</v>
      </c>
      <c r="I291" s="1437"/>
      <c r="J291" s="1437"/>
      <c r="K291" s="1437"/>
      <c r="L291" s="1437"/>
      <c r="M291" s="1437"/>
      <c r="N291" s="4" t="s">
        <v>205</v>
      </c>
      <c r="O291" s="4"/>
      <c r="P291" s="1428">
        <v>109</v>
      </c>
      <c r="Q291" s="1428"/>
      <c r="R291" s="1428"/>
      <c r="S291" s="3"/>
      <c r="T291" s="3" t="s">
        <v>88</v>
      </c>
      <c r="V291" s="3"/>
      <c r="W291" s="3"/>
      <c r="X291" s="3"/>
      <c r="Y291" s="3"/>
      <c r="AA291" s="1437" t="s">
        <v>2650</v>
      </c>
      <c r="AB291" s="1437"/>
      <c r="AC291" s="1437"/>
      <c r="AD291" s="1437"/>
      <c r="AE291" s="1437"/>
      <c r="AF291" s="1437"/>
      <c r="AG291" s="4" t="s">
        <v>205</v>
      </c>
      <c r="AH291" s="4"/>
      <c r="AI291" s="1428"/>
      <c r="AJ291" s="1428"/>
      <c r="AK291" s="1428"/>
    </row>
    <row r="292" spans="2:37" ht="12.95" customHeight="1">
      <c r="B292" s="3" t="s">
        <v>89</v>
      </c>
      <c r="C292" s="3"/>
      <c r="D292" s="3"/>
      <c r="E292" s="3"/>
      <c r="F292" s="3"/>
      <c r="G292" s="3"/>
      <c r="H292" s="1420" t="s">
        <v>2642</v>
      </c>
      <c r="I292" s="1420"/>
      <c r="J292" s="1420"/>
      <c r="K292" s="1420"/>
      <c r="L292" s="1420"/>
      <c r="M292" s="1420"/>
      <c r="N292" s="4"/>
      <c r="O292" s="4"/>
      <c r="P292" s="35"/>
      <c r="Q292" s="35"/>
      <c r="R292" s="35"/>
      <c r="S292" s="3"/>
      <c r="T292" s="3" t="s">
        <v>89</v>
      </c>
      <c r="V292" s="3"/>
      <c r="W292" s="3"/>
      <c r="X292" s="3"/>
      <c r="Y292" s="3"/>
      <c r="AA292" s="1420"/>
      <c r="AB292" s="1420"/>
      <c r="AC292" s="1420"/>
      <c r="AD292" s="1420"/>
      <c r="AE292" s="1420"/>
      <c r="AF292" s="1420"/>
      <c r="AG292" s="4"/>
      <c r="AH292" s="4"/>
      <c r="AI292" s="35"/>
      <c r="AJ292" s="35"/>
      <c r="AK292" s="35"/>
    </row>
    <row r="293" spans="2:37" ht="12.95" customHeight="1">
      <c r="B293" s="3" t="s">
        <v>76</v>
      </c>
      <c r="C293" s="3"/>
      <c r="D293" s="3"/>
      <c r="E293" s="3"/>
      <c r="F293" s="3"/>
      <c r="G293" s="3"/>
      <c r="H293" s="1454" t="s">
        <v>2643</v>
      </c>
      <c r="I293" s="1454"/>
      <c r="J293" s="1454"/>
      <c r="K293" s="1454"/>
      <c r="L293" s="1454"/>
      <c r="M293" s="1454"/>
      <c r="N293" s="1355"/>
      <c r="O293" s="1355"/>
      <c r="P293" s="1355"/>
      <c r="Q293" s="1355"/>
      <c r="R293" s="1355"/>
      <c r="S293" s="3"/>
      <c r="T293" s="3" t="s">
        <v>76</v>
      </c>
      <c r="V293" s="3"/>
      <c r="W293" s="3"/>
      <c r="X293" s="3"/>
      <c r="Y293" s="3"/>
      <c r="AA293" s="1454" t="s">
        <v>2651</v>
      </c>
      <c r="AB293" s="1454"/>
      <c r="AC293" s="1454"/>
      <c r="AD293" s="1454"/>
      <c r="AE293" s="1454"/>
      <c r="AF293" s="1454"/>
      <c r="AG293" s="1355"/>
      <c r="AH293" s="1355"/>
      <c r="AI293" s="1355"/>
      <c r="AJ293" s="1355"/>
      <c r="AK293" s="1355"/>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55" t="s">
        <v>2652</v>
      </c>
      <c r="I295" s="1355"/>
      <c r="J295" s="1355"/>
      <c r="K295" s="1355"/>
      <c r="L295" s="1355"/>
      <c r="M295" s="1355"/>
      <c r="N295" s="1355"/>
      <c r="O295" s="1355"/>
      <c r="P295" s="1355"/>
      <c r="Q295" s="1355"/>
      <c r="R295" s="1355"/>
      <c r="T295" s="3" t="s">
        <v>363</v>
      </c>
      <c r="V295" s="3"/>
      <c r="W295" s="3"/>
      <c r="X295" s="3"/>
      <c r="Y295" s="3"/>
      <c r="AA295" s="1355" t="s">
        <v>2659</v>
      </c>
      <c r="AB295" s="1355"/>
      <c r="AC295" s="1355"/>
      <c r="AD295" s="1355"/>
      <c r="AE295" s="1355"/>
      <c r="AF295" s="1355"/>
      <c r="AG295" s="1355"/>
      <c r="AH295" s="1355"/>
      <c r="AI295" s="1355"/>
      <c r="AJ295" s="1355"/>
      <c r="AK295" s="1355"/>
    </row>
    <row r="296" spans="2:37" ht="12.95" customHeight="1">
      <c r="B296" s="3" t="s">
        <v>470</v>
      </c>
      <c r="C296" s="3"/>
      <c r="D296" s="3"/>
      <c r="E296" s="3"/>
      <c r="F296" s="3"/>
      <c r="H296" s="1454" t="s">
        <v>2653</v>
      </c>
      <c r="I296" s="1454"/>
      <c r="J296" s="1454"/>
      <c r="K296" s="1454"/>
      <c r="L296" s="1454"/>
      <c r="M296" s="1454"/>
      <c r="N296" s="1454"/>
      <c r="O296" s="1454"/>
      <c r="P296" s="1454"/>
      <c r="Q296" s="1454"/>
      <c r="R296" s="1454"/>
      <c r="T296" s="3" t="s">
        <v>470</v>
      </c>
      <c r="V296" s="3"/>
      <c r="W296" s="3"/>
      <c r="X296" s="3"/>
      <c r="Y296" s="3"/>
      <c r="AA296" s="1454" t="s">
        <v>2660</v>
      </c>
      <c r="AB296" s="1454"/>
      <c r="AC296" s="1454"/>
      <c r="AD296" s="1454"/>
      <c r="AE296" s="1454"/>
      <c r="AF296" s="1454"/>
      <c r="AG296" s="1454"/>
      <c r="AH296" s="1454"/>
      <c r="AI296" s="1454"/>
      <c r="AJ296" s="1454"/>
      <c r="AK296" s="1454"/>
    </row>
    <row r="297" spans="2:37" ht="12.95" customHeight="1">
      <c r="B297" s="3" t="s">
        <v>471</v>
      </c>
      <c r="C297" s="3"/>
      <c r="D297" s="3"/>
      <c r="E297" s="3"/>
      <c r="F297" s="3"/>
      <c r="H297" s="1454" t="s">
        <v>2654</v>
      </c>
      <c r="I297" s="1454"/>
      <c r="J297" s="1454"/>
      <c r="K297" s="1454"/>
      <c r="L297" s="1454"/>
      <c r="M297" s="1454"/>
      <c r="N297" s="1454"/>
      <c r="O297" s="1454"/>
      <c r="P297" s="1454"/>
      <c r="Q297" s="1454"/>
      <c r="R297" s="1454"/>
      <c r="T297" s="3" t="s">
        <v>75</v>
      </c>
      <c r="V297" s="3"/>
      <c r="W297" s="3"/>
      <c r="X297" s="3"/>
      <c r="Y297" s="3"/>
      <c r="AA297" s="1454" t="s">
        <v>2661</v>
      </c>
      <c r="AB297" s="1454"/>
      <c r="AC297" s="1454"/>
      <c r="AD297" s="1454"/>
      <c r="AE297" s="1454"/>
      <c r="AF297" s="1454"/>
      <c r="AG297" s="1454"/>
      <c r="AH297" s="1454"/>
      <c r="AI297" s="1454"/>
      <c r="AJ297" s="1454"/>
      <c r="AK297" s="1454"/>
    </row>
    <row r="298" spans="2:37" ht="12.95" customHeight="1">
      <c r="B298" s="3" t="s">
        <v>87</v>
      </c>
      <c r="C298" s="3"/>
      <c r="D298" s="3"/>
      <c r="E298" s="3"/>
      <c r="F298" s="3"/>
      <c r="H298" s="1454" t="s">
        <v>2655</v>
      </c>
      <c r="I298" s="1454"/>
      <c r="J298" s="1454"/>
      <c r="K298" s="1454"/>
      <c r="L298" s="1454"/>
      <c r="M298" s="1454"/>
      <c r="N298" s="1454"/>
      <c r="O298" s="1454"/>
      <c r="P298" s="1454"/>
      <c r="Q298" s="1454"/>
      <c r="R298" s="1454"/>
      <c r="T298" s="3" t="s">
        <v>87</v>
      </c>
      <c r="V298" s="3"/>
      <c r="W298" s="3"/>
      <c r="X298" s="3"/>
      <c r="Y298" s="3"/>
      <c r="AA298" s="1454" t="s">
        <v>2662</v>
      </c>
      <c r="AB298" s="1454"/>
      <c r="AC298" s="1454"/>
      <c r="AD298" s="1454"/>
      <c r="AE298" s="1454"/>
      <c r="AF298" s="1454"/>
      <c r="AG298" s="1454"/>
      <c r="AH298" s="1454"/>
      <c r="AI298" s="1454"/>
      <c r="AJ298" s="1454"/>
      <c r="AK298" s="1454"/>
    </row>
    <row r="299" spans="2:37" ht="12.95" customHeight="1">
      <c r="B299" s="3" t="s">
        <v>88</v>
      </c>
      <c r="C299" s="3"/>
      <c r="D299" s="3"/>
      <c r="E299" s="3"/>
      <c r="F299" s="3"/>
      <c r="G299" s="3"/>
      <c r="H299" s="1437" t="s">
        <v>2656</v>
      </c>
      <c r="I299" s="1437"/>
      <c r="J299" s="1437"/>
      <c r="K299" s="1437"/>
      <c r="L299" s="1437"/>
      <c r="M299" s="1437"/>
      <c r="N299" s="4" t="s">
        <v>205</v>
      </c>
      <c r="O299" s="4"/>
      <c r="P299" s="1428"/>
      <c r="Q299" s="1428"/>
      <c r="R299" s="1428"/>
      <c r="S299" s="3"/>
      <c r="T299" s="3" t="s">
        <v>88</v>
      </c>
      <c r="V299" s="3"/>
      <c r="W299" s="3"/>
      <c r="X299" s="3"/>
      <c r="Y299" s="3"/>
      <c r="AA299" s="1437" t="s">
        <v>2663</v>
      </c>
      <c r="AB299" s="1437"/>
      <c r="AC299" s="1437"/>
      <c r="AD299" s="1437"/>
      <c r="AE299" s="1437"/>
      <c r="AF299" s="1437"/>
      <c r="AG299" s="4" t="s">
        <v>205</v>
      </c>
      <c r="AH299" s="4"/>
      <c r="AI299" s="1428"/>
      <c r="AJ299" s="1428"/>
      <c r="AK299" s="1428"/>
    </row>
    <row r="300" spans="2:37" ht="12.95" customHeight="1">
      <c r="B300" s="3" t="s">
        <v>89</v>
      </c>
      <c r="C300" s="3"/>
      <c r="D300" s="3"/>
      <c r="E300" s="3"/>
      <c r="F300" s="3"/>
      <c r="G300" s="3"/>
      <c r="H300" s="1420" t="s">
        <v>2657</v>
      </c>
      <c r="I300" s="1420"/>
      <c r="J300" s="1420"/>
      <c r="K300" s="1420"/>
      <c r="L300" s="1420"/>
      <c r="M300" s="1420"/>
      <c r="N300" s="4"/>
      <c r="O300" s="4"/>
      <c r="P300" s="35"/>
      <c r="Q300" s="35"/>
      <c r="R300" s="35"/>
      <c r="S300" s="3"/>
      <c r="T300" s="3" t="s">
        <v>89</v>
      </c>
      <c r="V300" s="3"/>
      <c r="W300" s="3"/>
      <c r="X300" s="3"/>
      <c r="Y300" s="3"/>
      <c r="AA300" s="1420"/>
      <c r="AB300" s="1420"/>
      <c r="AC300" s="1420"/>
      <c r="AD300" s="1420"/>
      <c r="AE300" s="1420"/>
      <c r="AF300" s="1420"/>
      <c r="AG300" s="4"/>
      <c r="AH300" s="4"/>
      <c r="AI300" s="35"/>
      <c r="AJ300" s="35"/>
      <c r="AK300" s="35"/>
    </row>
    <row r="301" spans="2:37" ht="12.95" customHeight="1">
      <c r="B301" s="3" t="s">
        <v>76</v>
      </c>
      <c r="C301" s="3"/>
      <c r="D301" s="3"/>
      <c r="E301" s="3"/>
      <c r="F301" s="3"/>
      <c r="G301" s="3"/>
      <c r="H301" s="1454" t="s">
        <v>2658</v>
      </c>
      <c r="I301" s="1454"/>
      <c r="J301" s="1454"/>
      <c r="K301" s="1454"/>
      <c r="L301" s="1454"/>
      <c r="M301" s="1454"/>
      <c r="N301" s="1355"/>
      <c r="O301" s="1355"/>
      <c r="P301" s="1355"/>
      <c r="Q301" s="1355"/>
      <c r="R301" s="1355"/>
      <c r="S301" s="3"/>
      <c r="T301" s="3" t="s">
        <v>76</v>
      </c>
      <c r="V301" s="3"/>
      <c r="W301" s="3"/>
      <c r="X301" s="3"/>
      <c r="Y301" s="3"/>
      <c r="AA301" s="1454" t="s">
        <v>2664</v>
      </c>
      <c r="AB301" s="1454"/>
      <c r="AC301" s="1454"/>
      <c r="AD301" s="1454"/>
      <c r="AE301" s="1454"/>
      <c r="AF301" s="1454"/>
      <c r="AG301" s="1355"/>
      <c r="AH301" s="1355"/>
      <c r="AI301" s="1355"/>
      <c r="AJ301" s="1355"/>
      <c r="AK301" s="1355"/>
    </row>
    <row r="302" spans="2:37" ht="12.95" customHeight="1"/>
    <row r="303" spans="2:37" ht="12.95" customHeight="1">
      <c r="B303" s="3" t="s">
        <v>77</v>
      </c>
      <c r="C303" s="3"/>
      <c r="D303" s="3"/>
      <c r="E303" s="3"/>
      <c r="F303" s="3"/>
      <c r="H303" s="1355" t="s">
        <v>2665</v>
      </c>
      <c r="I303" s="1355"/>
      <c r="J303" s="1355"/>
      <c r="K303" s="1355"/>
      <c r="L303" s="1355"/>
      <c r="M303" s="1355"/>
      <c r="N303" s="1355"/>
      <c r="O303" s="1355"/>
      <c r="P303" s="1355"/>
      <c r="Q303" s="1355"/>
      <c r="R303" s="1355"/>
      <c r="T303" s="4" t="s">
        <v>877</v>
      </c>
      <c r="V303" s="3"/>
      <c r="W303" s="3"/>
      <c r="X303" s="3"/>
      <c r="Y303" s="3"/>
      <c r="AA303" s="1355"/>
      <c r="AB303" s="1355"/>
      <c r="AC303" s="1355"/>
      <c r="AD303" s="1355"/>
      <c r="AE303" s="1355"/>
      <c r="AF303" s="1355"/>
      <c r="AG303" s="1355"/>
      <c r="AH303" s="1355"/>
      <c r="AI303" s="1355"/>
      <c r="AJ303" s="1355"/>
      <c r="AK303" s="1355"/>
    </row>
    <row r="304" spans="2:37" ht="12.95" customHeight="1">
      <c r="B304" s="3" t="s">
        <v>470</v>
      </c>
      <c r="C304" s="3"/>
      <c r="D304" s="3"/>
      <c r="E304" s="3"/>
      <c r="F304" s="3"/>
      <c r="H304" s="1454" t="s">
        <v>2666</v>
      </c>
      <c r="I304" s="1454"/>
      <c r="J304" s="1454"/>
      <c r="K304" s="1454"/>
      <c r="L304" s="1454"/>
      <c r="M304" s="1454"/>
      <c r="N304" s="1454"/>
      <c r="O304" s="1454"/>
      <c r="P304" s="1454"/>
      <c r="Q304" s="1454"/>
      <c r="R304" s="1454"/>
      <c r="T304" s="3" t="s">
        <v>470</v>
      </c>
      <c r="V304" s="3"/>
      <c r="W304" s="3"/>
      <c r="X304" s="3"/>
      <c r="Y304" s="3"/>
      <c r="AA304" s="1454"/>
      <c r="AB304" s="1454"/>
      <c r="AC304" s="1454"/>
      <c r="AD304" s="1454"/>
      <c r="AE304" s="1454"/>
      <c r="AF304" s="1454"/>
      <c r="AG304" s="1454"/>
      <c r="AH304" s="1454"/>
      <c r="AI304" s="1454"/>
      <c r="AJ304" s="1454"/>
      <c r="AK304" s="1454"/>
    </row>
    <row r="305" spans="2:37" ht="12.95" customHeight="1">
      <c r="B305" s="3" t="s">
        <v>471</v>
      </c>
      <c r="C305" s="3"/>
      <c r="D305" s="3"/>
      <c r="E305" s="3"/>
      <c r="F305" s="3"/>
      <c r="H305" s="1454" t="s">
        <v>2667</v>
      </c>
      <c r="I305" s="1454"/>
      <c r="J305" s="1454"/>
      <c r="K305" s="1454"/>
      <c r="L305" s="1454"/>
      <c r="M305" s="1454"/>
      <c r="N305" s="1454"/>
      <c r="O305" s="1454"/>
      <c r="P305" s="1454"/>
      <c r="Q305" s="1454"/>
      <c r="R305" s="1454"/>
      <c r="T305" s="3" t="s">
        <v>75</v>
      </c>
      <c r="V305" s="3"/>
      <c r="W305" s="3"/>
      <c r="X305" s="3"/>
      <c r="Y305" s="3"/>
      <c r="AA305" s="1454"/>
      <c r="AB305" s="1454"/>
      <c r="AC305" s="1454"/>
      <c r="AD305" s="1454"/>
      <c r="AE305" s="1454"/>
      <c r="AF305" s="1454"/>
      <c r="AG305" s="1454"/>
      <c r="AH305" s="1454"/>
      <c r="AI305" s="1454"/>
      <c r="AJ305" s="1454"/>
      <c r="AK305" s="1454"/>
    </row>
    <row r="306" spans="2:37" ht="12.95" customHeight="1">
      <c r="B306" s="3" t="s">
        <v>87</v>
      </c>
      <c r="C306" s="3"/>
      <c r="D306" s="3"/>
      <c r="E306" s="3"/>
      <c r="F306" s="3"/>
      <c r="H306" s="1454" t="s">
        <v>2668</v>
      </c>
      <c r="I306" s="1454"/>
      <c r="J306" s="1454"/>
      <c r="K306" s="1454"/>
      <c r="L306" s="1454"/>
      <c r="M306" s="1454"/>
      <c r="N306" s="1454"/>
      <c r="O306" s="1454"/>
      <c r="P306" s="1454"/>
      <c r="Q306" s="1454"/>
      <c r="R306" s="1454"/>
      <c r="T306" s="3" t="s">
        <v>87</v>
      </c>
      <c r="V306" s="3"/>
      <c r="W306" s="3"/>
      <c r="X306" s="3"/>
      <c r="Y306" s="3"/>
      <c r="AA306" s="1454"/>
      <c r="AB306" s="1454"/>
      <c r="AC306" s="1454"/>
      <c r="AD306" s="1454"/>
      <c r="AE306" s="1454"/>
      <c r="AF306" s="1454"/>
      <c r="AG306" s="1454"/>
      <c r="AH306" s="1454"/>
      <c r="AI306" s="1454"/>
      <c r="AJ306" s="1454"/>
      <c r="AK306" s="1454"/>
    </row>
    <row r="307" spans="2:37" ht="12.95" customHeight="1">
      <c r="B307" s="3" t="s">
        <v>88</v>
      </c>
      <c r="C307" s="3"/>
      <c r="D307" s="3"/>
      <c r="E307" s="3"/>
      <c r="F307" s="3"/>
      <c r="G307" s="3"/>
      <c r="H307" s="1437" t="s">
        <v>2669</v>
      </c>
      <c r="I307" s="1437"/>
      <c r="J307" s="1437"/>
      <c r="K307" s="1437"/>
      <c r="L307" s="1437"/>
      <c r="M307" s="1437"/>
      <c r="N307" s="4" t="s">
        <v>205</v>
      </c>
      <c r="O307" s="4"/>
      <c r="P307" s="1428"/>
      <c r="Q307" s="1428"/>
      <c r="R307" s="1428"/>
      <c r="S307" s="3"/>
      <c r="T307" s="3" t="s">
        <v>88</v>
      </c>
      <c r="V307" s="3"/>
      <c r="W307" s="3"/>
      <c r="X307" s="3"/>
      <c r="Y307" s="3"/>
      <c r="AA307" s="1437"/>
      <c r="AB307" s="1437"/>
      <c r="AC307" s="1437"/>
      <c r="AD307" s="1437"/>
      <c r="AE307" s="1437"/>
      <c r="AF307" s="1437"/>
      <c r="AG307" s="4" t="s">
        <v>205</v>
      </c>
      <c r="AH307" s="4"/>
      <c r="AI307" s="1428"/>
      <c r="AJ307" s="1428"/>
      <c r="AK307" s="1428"/>
    </row>
    <row r="308" spans="2:37" ht="12.95" customHeight="1">
      <c r="B308" s="3" t="s">
        <v>89</v>
      </c>
      <c r="C308" s="3"/>
      <c r="D308" s="3"/>
      <c r="E308" s="3"/>
      <c r="F308" s="3"/>
      <c r="G308" s="3"/>
      <c r="H308" s="1420" t="s">
        <v>2670</v>
      </c>
      <c r="I308" s="1420"/>
      <c r="J308" s="1420"/>
      <c r="K308" s="1420"/>
      <c r="L308" s="1420"/>
      <c r="M308" s="1420"/>
      <c r="N308" s="4"/>
      <c r="O308" s="4"/>
      <c r="P308" s="35"/>
      <c r="Q308" s="35"/>
      <c r="R308" s="35"/>
      <c r="S308" s="3"/>
      <c r="T308" s="3" t="s">
        <v>89</v>
      </c>
      <c r="V308" s="3"/>
      <c r="W308" s="3"/>
      <c r="X308" s="3"/>
      <c r="Y308" s="3"/>
      <c r="AA308" s="1420"/>
      <c r="AB308" s="1420"/>
      <c r="AC308" s="1420"/>
      <c r="AD308" s="1420"/>
      <c r="AE308" s="1420"/>
      <c r="AF308" s="1420"/>
      <c r="AG308" s="4"/>
      <c r="AH308" s="4"/>
      <c r="AI308" s="35"/>
      <c r="AJ308" s="35"/>
      <c r="AK308" s="35"/>
    </row>
    <row r="309" spans="2:37" ht="12.95" customHeight="1">
      <c r="B309" s="3" t="s">
        <v>76</v>
      </c>
      <c r="C309" s="3"/>
      <c r="D309" s="3"/>
      <c r="E309" s="3"/>
      <c r="F309" s="3"/>
      <c r="G309" s="3"/>
      <c r="H309" s="1454" t="s">
        <v>2671</v>
      </c>
      <c r="I309" s="1454"/>
      <c r="J309" s="1454"/>
      <c r="K309" s="1454"/>
      <c r="L309" s="1454"/>
      <c r="M309" s="1454"/>
      <c r="N309" s="1355"/>
      <c r="O309" s="1355"/>
      <c r="P309" s="1355"/>
      <c r="Q309" s="1355"/>
      <c r="R309" s="1355"/>
      <c r="S309" s="3"/>
      <c r="T309" s="3" t="s">
        <v>76</v>
      </c>
      <c r="V309" s="3"/>
      <c r="W309" s="3"/>
      <c r="X309" s="3"/>
      <c r="Y309" s="3"/>
      <c r="AA309" s="1454"/>
      <c r="AB309" s="1454"/>
      <c r="AC309" s="1454"/>
      <c r="AD309" s="1454"/>
      <c r="AE309" s="1454"/>
      <c r="AF309" s="1454"/>
      <c r="AG309" s="1355"/>
      <c r="AH309" s="1355"/>
      <c r="AI309" s="1355"/>
      <c r="AJ309" s="1355"/>
      <c r="AK309" s="1355"/>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55" t="s">
        <v>2665</v>
      </c>
      <c r="I311" s="1355"/>
      <c r="J311" s="1355"/>
      <c r="K311" s="1355"/>
      <c r="L311" s="1355"/>
      <c r="M311" s="1355"/>
      <c r="N311" s="1355"/>
      <c r="O311" s="1355"/>
      <c r="P311" s="1355"/>
      <c r="Q311" s="1355"/>
      <c r="R311" s="1355"/>
      <c r="S311" s="3"/>
      <c r="T311" s="3" t="s">
        <v>364</v>
      </c>
      <c r="V311" s="3"/>
      <c r="W311" s="3"/>
      <c r="X311" s="3"/>
      <c r="Y311" s="3"/>
      <c r="AA311" s="1355" t="s">
        <v>2672</v>
      </c>
      <c r="AB311" s="1355"/>
      <c r="AC311" s="1355"/>
      <c r="AD311" s="1355"/>
      <c r="AE311" s="1355"/>
      <c r="AF311" s="1355"/>
      <c r="AG311" s="1355"/>
      <c r="AH311" s="1355"/>
      <c r="AI311" s="1355"/>
      <c r="AJ311" s="1355"/>
      <c r="AK311" s="1355"/>
    </row>
    <row r="312" spans="2:37" ht="12.95" customHeight="1">
      <c r="B312" s="3" t="s">
        <v>470</v>
      </c>
      <c r="C312" s="3"/>
      <c r="D312" s="3"/>
      <c r="E312" s="3"/>
      <c r="F312" s="3"/>
      <c r="H312" s="1454" t="s">
        <v>2666</v>
      </c>
      <c r="I312" s="1454"/>
      <c r="J312" s="1454"/>
      <c r="K312" s="1454"/>
      <c r="L312" s="1454"/>
      <c r="M312" s="1454"/>
      <c r="N312" s="1454"/>
      <c r="O312" s="1454"/>
      <c r="P312" s="1454"/>
      <c r="Q312" s="1454"/>
      <c r="R312" s="1454"/>
      <c r="S312" s="3"/>
      <c r="T312" s="3" t="s">
        <v>470</v>
      </c>
      <c r="V312" s="3"/>
      <c r="W312" s="3"/>
      <c r="X312" s="3"/>
      <c r="Y312" s="3"/>
      <c r="AA312" s="1454" t="s">
        <v>2673</v>
      </c>
      <c r="AB312" s="1454"/>
      <c r="AC312" s="1454"/>
      <c r="AD312" s="1454"/>
      <c r="AE312" s="1454"/>
      <c r="AF312" s="1454"/>
      <c r="AG312" s="1454"/>
      <c r="AH312" s="1454"/>
      <c r="AI312" s="1454"/>
      <c r="AJ312" s="1454"/>
      <c r="AK312" s="1454"/>
    </row>
    <row r="313" spans="2:37" ht="12.95" customHeight="1">
      <c r="B313" s="3" t="s">
        <v>471</v>
      </c>
      <c r="C313" s="3"/>
      <c r="D313" s="3"/>
      <c r="E313" s="3"/>
      <c r="F313" s="3"/>
      <c r="H313" s="1454" t="s">
        <v>2667</v>
      </c>
      <c r="I313" s="1454"/>
      <c r="J313" s="1454"/>
      <c r="K313" s="1454"/>
      <c r="L313" s="1454"/>
      <c r="M313" s="1454"/>
      <c r="N313" s="1454"/>
      <c r="O313" s="1454"/>
      <c r="P313" s="1454"/>
      <c r="Q313" s="1454"/>
      <c r="R313" s="1454"/>
      <c r="S313" s="3"/>
      <c r="T313" s="3" t="s">
        <v>75</v>
      </c>
      <c r="V313" s="3"/>
      <c r="W313" s="3"/>
      <c r="X313" s="3"/>
      <c r="Y313" s="3"/>
      <c r="AA313" s="1454" t="s">
        <v>2654</v>
      </c>
      <c r="AB313" s="1454"/>
      <c r="AC313" s="1454"/>
      <c r="AD313" s="1454"/>
      <c r="AE313" s="1454"/>
      <c r="AF313" s="1454"/>
      <c r="AG313" s="1454"/>
      <c r="AH313" s="1454"/>
      <c r="AI313" s="1454"/>
      <c r="AJ313" s="1454"/>
      <c r="AK313" s="1454"/>
    </row>
    <row r="314" spans="2:37" ht="12.95" customHeight="1">
      <c r="B314" s="3" t="s">
        <v>87</v>
      </c>
      <c r="C314" s="3"/>
      <c r="D314" s="3"/>
      <c r="E314" s="3"/>
      <c r="F314" s="3"/>
      <c r="H314" s="1454" t="s">
        <v>2668</v>
      </c>
      <c r="I314" s="1454"/>
      <c r="J314" s="1454"/>
      <c r="K314" s="1454"/>
      <c r="L314" s="1454"/>
      <c r="M314" s="1454"/>
      <c r="N314" s="1454"/>
      <c r="O314" s="1454"/>
      <c r="P314" s="1454"/>
      <c r="Q314" s="1454"/>
      <c r="R314" s="1454"/>
      <c r="S314" s="3"/>
      <c r="T314" s="3" t="s">
        <v>87</v>
      </c>
      <c r="V314" s="3"/>
      <c r="W314" s="3"/>
      <c r="X314" s="3"/>
      <c r="Y314" s="3"/>
      <c r="AA314" s="1454" t="s">
        <v>2674</v>
      </c>
      <c r="AB314" s="1454"/>
      <c r="AC314" s="1454"/>
      <c r="AD314" s="1454"/>
      <c r="AE314" s="1454"/>
      <c r="AF314" s="1454"/>
      <c r="AG314" s="1454"/>
      <c r="AH314" s="1454"/>
      <c r="AI314" s="1454"/>
      <c r="AJ314" s="1454"/>
      <c r="AK314" s="1454"/>
    </row>
    <row r="315" spans="2:37" ht="12.95" customHeight="1">
      <c r="B315" s="3" t="s">
        <v>88</v>
      </c>
      <c r="C315" s="3"/>
      <c r="D315" s="3"/>
      <c r="E315" s="3"/>
      <c r="F315" s="3"/>
      <c r="G315" s="3"/>
      <c r="H315" s="1437" t="s">
        <v>2669</v>
      </c>
      <c r="I315" s="1437"/>
      <c r="J315" s="1437"/>
      <c r="K315" s="1437"/>
      <c r="L315" s="1437"/>
      <c r="M315" s="1437"/>
      <c r="N315" s="4" t="s">
        <v>205</v>
      </c>
      <c r="O315" s="4"/>
      <c r="P315" s="1428"/>
      <c r="Q315" s="1428"/>
      <c r="R315" s="1428"/>
      <c r="S315" s="3"/>
      <c r="T315" s="3" t="s">
        <v>88</v>
      </c>
      <c r="V315" s="3"/>
      <c r="W315" s="3"/>
      <c r="X315" s="3"/>
      <c r="Y315" s="3"/>
      <c r="AA315" s="1437" t="s">
        <v>2675</v>
      </c>
      <c r="AB315" s="1437"/>
      <c r="AC315" s="1437"/>
      <c r="AD315" s="1437"/>
      <c r="AE315" s="1437"/>
      <c r="AF315" s="1437"/>
      <c r="AG315" s="4" t="s">
        <v>205</v>
      </c>
      <c r="AH315" s="4"/>
      <c r="AI315" s="1428"/>
      <c r="AJ315" s="1428"/>
      <c r="AK315" s="1428"/>
    </row>
    <row r="316" spans="2:37" ht="12.95" customHeight="1">
      <c r="B316" s="3" t="s">
        <v>89</v>
      </c>
      <c r="C316" s="3"/>
      <c r="D316" s="3"/>
      <c r="E316" s="3"/>
      <c r="F316" s="3"/>
      <c r="G316" s="3"/>
      <c r="H316" s="1420" t="s">
        <v>2670</v>
      </c>
      <c r="I316" s="1420"/>
      <c r="J316" s="1420"/>
      <c r="K316" s="1420"/>
      <c r="L316" s="1420"/>
      <c r="M316" s="1420"/>
      <c r="N316" s="4"/>
      <c r="O316" s="4"/>
      <c r="P316" s="35"/>
      <c r="Q316" s="35"/>
      <c r="R316" s="35"/>
      <c r="S316" s="3"/>
      <c r="T316" s="3" t="s">
        <v>89</v>
      </c>
      <c r="V316" s="3"/>
      <c r="W316" s="3"/>
      <c r="X316" s="3"/>
      <c r="Y316" s="3"/>
      <c r="AA316" s="1420" t="s">
        <v>2676</v>
      </c>
      <c r="AB316" s="1420"/>
      <c r="AC316" s="1420"/>
      <c r="AD316" s="1420"/>
      <c r="AE316" s="1420"/>
      <c r="AF316" s="1420"/>
      <c r="AG316" s="4"/>
      <c r="AH316" s="4"/>
      <c r="AI316" s="35"/>
      <c r="AJ316" s="35"/>
      <c r="AK316" s="35"/>
    </row>
    <row r="317" spans="2:37" ht="12.95" customHeight="1">
      <c r="B317" s="3" t="s">
        <v>76</v>
      </c>
      <c r="C317" s="3"/>
      <c r="D317" s="3"/>
      <c r="E317" s="3"/>
      <c r="F317" s="3"/>
      <c r="G317" s="3"/>
      <c r="H317" s="1454" t="s">
        <v>2671</v>
      </c>
      <c r="I317" s="1454"/>
      <c r="J317" s="1454"/>
      <c r="K317" s="1454"/>
      <c r="L317" s="1454"/>
      <c r="M317" s="1454"/>
      <c r="N317" s="1355"/>
      <c r="O317" s="1355"/>
      <c r="P317" s="1355"/>
      <c r="Q317" s="1355"/>
      <c r="R317" s="1355"/>
      <c r="S317" s="3"/>
      <c r="T317" s="3" t="s">
        <v>76</v>
      </c>
      <c r="V317" s="3"/>
      <c r="W317" s="3"/>
      <c r="X317" s="3"/>
      <c r="Y317" s="3"/>
      <c r="AA317" s="1454" t="s">
        <v>2677</v>
      </c>
      <c r="AB317" s="1454"/>
      <c r="AC317" s="1454"/>
      <c r="AD317" s="1454"/>
      <c r="AE317" s="1454"/>
      <c r="AF317" s="1454"/>
      <c r="AG317" s="1355"/>
      <c r="AH317" s="1355"/>
      <c r="AI317" s="1355"/>
      <c r="AJ317" s="1355"/>
      <c r="AK317" s="1355"/>
    </row>
    <row r="318" spans="2:37" ht="12.95" customHeight="1"/>
    <row r="319" spans="2:37" ht="12.95" customHeight="1">
      <c r="B319" s="4" t="s">
        <v>907</v>
      </c>
      <c r="C319" s="3"/>
      <c r="D319" s="3"/>
      <c r="E319" s="3"/>
      <c r="F319" s="3"/>
      <c r="H319" s="1355"/>
      <c r="I319" s="1355"/>
      <c r="J319" s="1355"/>
      <c r="K319" s="1355"/>
      <c r="L319" s="1355"/>
      <c r="M319" s="1355"/>
      <c r="N319" s="1355"/>
      <c r="O319" s="1355"/>
      <c r="P319" s="1355"/>
      <c r="Q319" s="1355"/>
      <c r="R319" s="1355"/>
      <c r="T319" s="3" t="s">
        <v>365</v>
      </c>
      <c r="V319" s="3"/>
      <c r="W319" s="3"/>
      <c r="X319" s="3"/>
      <c r="Y319" s="3"/>
      <c r="AA319" s="1355" t="s">
        <v>2665</v>
      </c>
      <c r="AB319" s="1355"/>
      <c r="AC319" s="1355"/>
      <c r="AD319" s="1355"/>
      <c r="AE319" s="1355"/>
      <c r="AF319" s="1355"/>
      <c r="AG319" s="1355"/>
      <c r="AH319" s="1355"/>
      <c r="AI319" s="1355"/>
      <c r="AJ319" s="1355"/>
      <c r="AK319" s="1355"/>
    </row>
    <row r="320" spans="2:37" ht="12.95" customHeight="1">
      <c r="B320" s="3" t="s">
        <v>470</v>
      </c>
      <c r="C320" s="3"/>
      <c r="D320" s="3"/>
      <c r="E320" s="3"/>
      <c r="F320" s="3"/>
      <c r="H320" s="1454"/>
      <c r="I320" s="1454"/>
      <c r="J320" s="1454"/>
      <c r="K320" s="1454"/>
      <c r="L320" s="1454"/>
      <c r="M320" s="1454"/>
      <c r="N320" s="1454"/>
      <c r="O320" s="1454"/>
      <c r="P320" s="1454"/>
      <c r="Q320" s="1454"/>
      <c r="R320" s="1454"/>
      <c r="T320" s="3" t="s">
        <v>470</v>
      </c>
      <c r="V320" s="3"/>
      <c r="W320" s="3"/>
      <c r="X320" s="3"/>
      <c r="Y320" s="3"/>
      <c r="AA320" s="1454" t="s">
        <v>2666</v>
      </c>
      <c r="AB320" s="1454"/>
      <c r="AC320" s="1454"/>
      <c r="AD320" s="1454"/>
      <c r="AE320" s="1454"/>
      <c r="AF320" s="1454"/>
      <c r="AG320" s="1454"/>
      <c r="AH320" s="1454"/>
      <c r="AI320" s="1454"/>
      <c r="AJ320" s="1454"/>
      <c r="AK320" s="1454"/>
    </row>
    <row r="321" spans="2:37" ht="12.95" customHeight="1">
      <c r="B321" s="3" t="s">
        <v>471</v>
      </c>
      <c r="C321" s="3"/>
      <c r="D321" s="3"/>
      <c r="E321" s="3"/>
      <c r="F321" s="3"/>
      <c r="H321" s="1454"/>
      <c r="I321" s="1454"/>
      <c r="J321" s="1454"/>
      <c r="K321" s="1454"/>
      <c r="L321" s="1454"/>
      <c r="M321" s="1454"/>
      <c r="N321" s="1454"/>
      <c r="O321" s="1454"/>
      <c r="P321" s="1454"/>
      <c r="Q321" s="1454"/>
      <c r="R321" s="1454"/>
      <c r="T321" s="3" t="s">
        <v>75</v>
      </c>
      <c r="V321" s="3"/>
      <c r="W321" s="3"/>
      <c r="X321" s="3"/>
      <c r="Y321" s="3"/>
      <c r="AA321" s="1454" t="s">
        <v>2667</v>
      </c>
      <c r="AB321" s="1454"/>
      <c r="AC321" s="1454"/>
      <c r="AD321" s="1454"/>
      <c r="AE321" s="1454"/>
      <c r="AF321" s="1454"/>
      <c r="AG321" s="1454"/>
      <c r="AH321" s="1454"/>
      <c r="AI321" s="1454"/>
      <c r="AJ321" s="1454"/>
      <c r="AK321" s="1454"/>
    </row>
    <row r="322" spans="2:37" ht="12.95" customHeight="1">
      <c r="B322" s="3" t="s">
        <v>87</v>
      </c>
      <c r="C322" s="3"/>
      <c r="D322" s="3"/>
      <c r="E322" s="3"/>
      <c r="F322" s="3"/>
      <c r="H322" s="1454"/>
      <c r="I322" s="1454"/>
      <c r="J322" s="1454"/>
      <c r="K322" s="1454"/>
      <c r="L322" s="1454"/>
      <c r="M322" s="1454"/>
      <c r="N322" s="1454"/>
      <c r="O322" s="1454"/>
      <c r="P322" s="1454"/>
      <c r="Q322" s="1454"/>
      <c r="R322" s="1454"/>
      <c r="T322" s="3" t="s">
        <v>87</v>
      </c>
      <c r="V322" s="3"/>
      <c r="W322" s="3"/>
      <c r="X322" s="3"/>
      <c r="Y322" s="3"/>
      <c r="AA322" s="1454" t="s">
        <v>2678</v>
      </c>
      <c r="AB322" s="1454"/>
      <c r="AC322" s="1454"/>
      <c r="AD322" s="1454"/>
      <c r="AE322" s="1454"/>
      <c r="AF322" s="1454"/>
      <c r="AG322" s="1454"/>
      <c r="AH322" s="1454"/>
      <c r="AI322" s="1454"/>
      <c r="AJ322" s="1454"/>
      <c r="AK322" s="1454"/>
    </row>
    <row r="323" spans="2:37" ht="12.95" customHeight="1">
      <c r="B323" s="3" t="s">
        <v>88</v>
      </c>
      <c r="C323" s="3"/>
      <c r="D323" s="3"/>
      <c r="E323" s="3"/>
      <c r="F323" s="3"/>
      <c r="G323" s="3"/>
      <c r="H323" s="1437"/>
      <c r="I323" s="1437"/>
      <c r="J323" s="1437"/>
      <c r="K323" s="1437"/>
      <c r="L323" s="1437"/>
      <c r="M323" s="1437"/>
      <c r="N323" s="4" t="s">
        <v>205</v>
      </c>
      <c r="O323" s="4"/>
      <c r="P323" s="1428"/>
      <c r="Q323" s="1428"/>
      <c r="R323" s="1428"/>
      <c r="S323" s="3"/>
      <c r="T323" s="3" t="s">
        <v>88</v>
      </c>
      <c r="V323" s="3"/>
      <c r="W323" s="3"/>
      <c r="X323" s="3"/>
      <c r="Y323" s="3"/>
      <c r="AA323" s="1437" t="s">
        <v>2679</v>
      </c>
      <c r="AB323" s="1437"/>
      <c r="AC323" s="1437"/>
      <c r="AD323" s="1437"/>
      <c r="AE323" s="1437"/>
      <c r="AF323" s="1437"/>
      <c r="AG323" s="4" t="s">
        <v>205</v>
      </c>
      <c r="AH323" s="4"/>
      <c r="AI323" s="1428"/>
      <c r="AJ323" s="1428"/>
      <c r="AK323" s="1428"/>
    </row>
    <row r="324" spans="2:37" ht="12.95" customHeight="1">
      <c r="B324" s="3" t="s">
        <v>89</v>
      </c>
      <c r="C324" s="3"/>
      <c r="D324" s="3"/>
      <c r="E324" s="3"/>
      <c r="F324" s="3"/>
      <c r="G324" s="3"/>
      <c r="H324" s="1420"/>
      <c r="I324" s="1420"/>
      <c r="J324" s="1420"/>
      <c r="K324" s="1420"/>
      <c r="L324" s="1420"/>
      <c r="M324" s="1420"/>
      <c r="N324" s="4"/>
      <c r="O324" s="4"/>
      <c r="P324" s="35"/>
      <c r="Q324" s="35"/>
      <c r="R324" s="35"/>
      <c r="S324" s="3"/>
      <c r="T324" s="3" t="s">
        <v>89</v>
      </c>
      <c r="V324" s="3"/>
      <c r="W324" s="3"/>
      <c r="X324" s="3"/>
      <c r="Y324" s="3"/>
      <c r="AA324" s="1420"/>
      <c r="AB324" s="1420"/>
      <c r="AC324" s="1420"/>
      <c r="AD324" s="1420"/>
      <c r="AE324" s="1420"/>
      <c r="AF324" s="1420"/>
      <c r="AG324" s="4"/>
      <c r="AH324" s="4"/>
      <c r="AI324" s="35"/>
      <c r="AJ324" s="35"/>
      <c r="AK324" s="35"/>
    </row>
    <row r="325" spans="2:37" ht="12.95" customHeight="1">
      <c r="B325" s="3" t="s">
        <v>76</v>
      </c>
      <c r="C325" s="3"/>
      <c r="D325" s="3"/>
      <c r="E325" s="3"/>
      <c r="F325" s="3"/>
      <c r="G325" s="3"/>
      <c r="H325" s="1454"/>
      <c r="I325" s="1454"/>
      <c r="J325" s="1454"/>
      <c r="K325" s="1454"/>
      <c r="L325" s="1454"/>
      <c r="M325" s="1454"/>
      <c r="N325" s="1355"/>
      <c r="O325" s="1355"/>
      <c r="P325" s="1355"/>
      <c r="Q325" s="1355"/>
      <c r="R325" s="1355"/>
      <c r="S325" s="3"/>
      <c r="T325" s="3" t="s">
        <v>76</v>
      </c>
      <c r="V325" s="3"/>
      <c r="W325" s="3"/>
      <c r="X325" s="3"/>
      <c r="Y325" s="3"/>
      <c r="AA325" s="1454" t="s">
        <v>2680</v>
      </c>
      <c r="AB325" s="1454"/>
      <c r="AC325" s="1454"/>
      <c r="AD325" s="1454"/>
      <c r="AE325" s="1454"/>
      <c r="AF325" s="1454"/>
      <c r="AG325" s="1355"/>
      <c r="AH325" s="1355"/>
      <c r="AI325" s="1355"/>
      <c r="AJ325" s="1355"/>
      <c r="AK325" s="1355"/>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55"/>
      <c r="I327" s="1355"/>
      <c r="J327" s="1355"/>
      <c r="K327" s="1355"/>
      <c r="L327" s="1355"/>
      <c r="M327" s="1355"/>
      <c r="N327" s="1355"/>
      <c r="O327" s="1355"/>
      <c r="P327" s="1355"/>
      <c r="Q327" s="1355"/>
      <c r="R327" s="1355"/>
      <c r="T327" s="3" t="s">
        <v>367</v>
      </c>
      <c r="V327" s="3"/>
      <c r="W327" s="3"/>
      <c r="X327" s="3"/>
      <c r="Y327" s="3"/>
      <c r="AA327" s="1355"/>
      <c r="AB327" s="1355"/>
      <c r="AC327" s="1355"/>
      <c r="AD327" s="1355"/>
      <c r="AE327" s="1355"/>
      <c r="AF327" s="1355"/>
      <c r="AG327" s="1355"/>
      <c r="AH327" s="1355"/>
      <c r="AI327" s="1355"/>
      <c r="AJ327" s="1355"/>
      <c r="AK327" s="1355"/>
    </row>
    <row r="328" spans="2:37" ht="12.95" customHeight="1">
      <c r="B328" s="3" t="s">
        <v>470</v>
      </c>
      <c r="C328" s="3"/>
      <c r="D328" s="3"/>
      <c r="E328" s="3"/>
      <c r="F328" s="3"/>
      <c r="H328" s="1454"/>
      <c r="I328" s="1454"/>
      <c r="J328" s="1454"/>
      <c r="K328" s="1454"/>
      <c r="L328" s="1454"/>
      <c r="M328" s="1454"/>
      <c r="N328" s="1454"/>
      <c r="O328" s="1454"/>
      <c r="P328" s="1454"/>
      <c r="Q328" s="1454"/>
      <c r="R328" s="1454"/>
      <c r="T328" s="3" t="s">
        <v>470</v>
      </c>
      <c r="V328" s="3"/>
      <c r="W328" s="3"/>
      <c r="X328" s="3"/>
      <c r="Y328" s="3"/>
      <c r="AA328" s="1454"/>
      <c r="AB328" s="1454"/>
      <c r="AC328" s="1454"/>
      <c r="AD328" s="1454"/>
      <c r="AE328" s="1454"/>
      <c r="AF328" s="1454"/>
      <c r="AG328" s="1454"/>
      <c r="AH328" s="1454"/>
      <c r="AI328" s="1454"/>
      <c r="AJ328" s="1454"/>
      <c r="AK328" s="1454"/>
    </row>
    <row r="329" spans="2:37" ht="12.95" customHeight="1">
      <c r="B329" s="3" t="s">
        <v>471</v>
      </c>
      <c r="C329" s="3"/>
      <c r="D329" s="3"/>
      <c r="E329" s="3"/>
      <c r="F329" s="3"/>
      <c r="H329" s="1454"/>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37" ht="12.95" customHeight="1">
      <c r="B330" s="3" t="s">
        <v>87</v>
      </c>
      <c r="C330" s="3"/>
      <c r="D330" s="3"/>
      <c r="E330" s="3"/>
      <c r="F330" s="3"/>
      <c r="H330" s="1454"/>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37" ht="12.95" customHeight="1">
      <c r="B331" s="3" t="s">
        <v>88</v>
      </c>
      <c r="C331" s="3"/>
      <c r="D331" s="3"/>
      <c r="E331" s="3"/>
      <c r="F331" s="3"/>
      <c r="G331" s="3"/>
      <c r="H331" s="1437"/>
      <c r="I331" s="1437"/>
      <c r="J331" s="1437"/>
      <c r="K331" s="1437"/>
      <c r="L331" s="1437"/>
      <c r="M331" s="1437"/>
      <c r="N331" s="4" t="s">
        <v>205</v>
      </c>
      <c r="O331" s="4"/>
      <c r="P331" s="1428"/>
      <c r="Q331" s="1428"/>
      <c r="R331" s="1428"/>
      <c r="S331" s="3"/>
      <c r="T331" s="3" t="s">
        <v>88</v>
      </c>
      <c r="V331" s="3"/>
      <c r="W331" s="3"/>
      <c r="X331" s="3"/>
      <c r="Y331" s="3"/>
      <c r="AA331" s="1437"/>
      <c r="AB331" s="1437"/>
      <c r="AC331" s="1437"/>
      <c r="AD331" s="1437"/>
      <c r="AE331" s="1437"/>
      <c r="AF331" s="1437"/>
      <c r="AG331" s="4" t="s">
        <v>205</v>
      </c>
      <c r="AH331" s="4"/>
      <c r="AI331" s="1428"/>
      <c r="AJ331" s="1428"/>
      <c r="AK331" s="1428"/>
    </row>
    <row r="332" spans="2:37" ht="12.95" customHeight="1">
      <c r="B332" s="3" t="s">
        <v>89</v>
      </c>
      <c r="C332" s="3"/>
      <c r="D332" s="3"/>
      <c r="E332" s="3"/>
      <c r="F332" s="3"/>
      <c r="G332" s="3"/>
      <c r="H332" s="1420"/>
      <c r="I332" s="1420"/>
      <c r="J332" s="1420"/>
      <c r="K332" s="1420"/>
      <c r="L332" s="1420"/>
      <c r="M332" s="1420"/>
      <c r="N332" s="4"/>
      <c r="O332" s="4"/>
      <c r="P332" s="35"/>
      <c r="Q332" s="35"/>
      <c r="R332" s="35"/>
      <c r="S332" s="3"/>
      <c r="T332" s="3" t="s">
        <v>89</v>
      </c>
      <c r="V332" s="3"/>
      <c r="W332" s="3"/>
      <c r="X332" s="3"/>
      <c r="Y332" s="3"/>
      <c r="AA332" s="1420"/>
      <c r="AB332" s="1420"/>
      <c r="AC332" s="1420"/>
      <c r="AD332" s="1420"/>
      <c r="AE332" s="1420"/>
      <c r="AF332" s="1420"/>
      <c r="AG332" s="4"/>
      <c r="AH332" s="4"/>
      <c r="AI332" s="35"/>
      <c r="AJ332" s="35"/>
      <c r="AK332" s="35"/>
    </row>
    <row r="333" spans="2:37" ht="12.95" customHeight="1">
      <c r="B333" s="3" t="s">
        <v>76</v>
      </c>
      <c r="C333" s="3"/>
      <c r="D333" s="3"/>
      <c r="E333" s="3"/>
      <c r="F333" s="3"/>
      <c r="G333" s="3"/>
      <c r="H333" s="1454"/>
      <c r="I333" s="1454"/>
      <c r="J333" s="1454"/>
      <c r="K333" s="1454"/>
      <c r="L333" s="1454"/>
      <c r="M333" s="1454"/>
      <c r="N333" s="1355"/>
      <c r="O333" s="1355"/>
      <c r="P333" s="1355"/>
      <c r="Q333" s="1355"/>
      <c r="R333" s="1355"/>
      <c r="S333" s="3"/>
      <c r="T333" s="3" t="s">
        <v>76</v>
      </c>
      <c r="V333" s="3"/>
      <c r="W333" s="3"/>
      <c r="X333" s="3"/>
      <c r="Y333" s="3"/>
      <c r="AA333" s="1454"/>
      <c r="AB333" s="1454"/>
      <c r="AC333" s="1454"/>
      <c r="AD333" s="1454"/>
      <c r="AE333" s="1454"/>
      <c r="AF333" s="1454"/>
      <c r="AG333" s="1355"/>
      <c r="AH333" s="1355"/>
      <c r="AI333" s="1355"/>
      <c r="AJ333" s="1355"/>
      <c r="AK333" s="1355"/>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55" t="s">
        <v>2681</v>
      </c>
      <c r="I335" s="1355"/>
      <c r="J335" s="1355"/>
      <c r="K335" s="1355"/>
      <c r="L335" s="1355"/>
      <c r="M335" s="1355"/>
      <c r="N335" s="1355"/>
      <c r="O335" s="1355"/>
      <c r="P335" s="1355"/>
      <c r="Q335" s="1355"/>
      <c r="R335" s="1355"/>
      <c r="T335" s="204" t="s">
        <v>885</v>
      </c>
      <c r="V335" s="3"/>
      <c r="W335" s="3"/>
      <c r="X335" s="3"/>
      <c r="Y335" s="3"/>
      <c r="AA335" s="1355" t="s">
        <v>2627</v>
      </c>
      <c r="AB335" s="1355"/>
      <c r="AC335" s="1355"/>
      <c r="AD335" s="1355"/>
      <c r="AE335" s="1355"/>
      <c r="AF335" s="1355"/>
      <c r="AG335" s="1355"/>
      <c r="AH335" s="1355"/>
      <c r="AI335" s="1355"/>
      <c r="AJ335" s="1355"/>
      <c r="AK335" s="1355"/>
    </row>
    <row r="336" spans="2:37" ht="12.95" customHeight="1">
      <c r="B336" s="3" t="s">
        <v>470</v>
      </c>
      <c r="C336" s="3"/>
      <c r="D336" s="3"/>
      <c r="E336" s="3"/>
      <c r="F336" s="3"/>
      <c r="H336" s="1454" t="s">
        <v>2682</v>
      </c>
      <c r="I336" s="1454"/>
      <c r="J336" s="1454"/>
      <c r="K336" s="1454"/>
      <c r="L336" s="1454"/>
      <c r="M336" s="1454"/>
      <c r="N336" s="1454"/>
      <c r="O336" s="1454"/>
      <c r="P336" s="1454"/>
      <c r="Q336" s="1454"/>
      <c r="R336" s="1454"/>
      <c r="T336" s="3" t="s">
        <v>470</v>
      </c>
      <c r="V336" s="3"/>
      <c r="W336" s="3"/>
      <c r="X336" s="3"/>
      <c r="Y336" s="3"/>
      <c r="AA336" s="1454" t="s">
        <v>2688</v>
      </c>
      <c r="AB336" s="1454"/>
      <c r="AC336" s="1454"/>
      <c r="AD336" s="1454"/>
      <c r="AE336" s="1454"/>
      <c r="AF336" s="1454"/>
      <c r="AG336" s="1454"/>
      <c r="AH336" s="1454"/>
      <c r="AI336" s="1454"/>
      <c r="AJ336" s="1454"/>
      <c r="AK336" s="1454"/>
    </row>
    <row r="337" spans="1:66" ht="12.95" customHeight="1">
      <c r="B337" s="3" t="s">
        <v>75</v>
      </c>
      <c r="C337" s="3"/>
      <c r="D337" s="3"/>
      <c r="E337" s="3"/>
      <c r="F337" s="3"/>
      <c r="H337" s="1454" t="s">
        <v>2683</v>
      </c>
      <c r="I337" s="1454"/>
      <c r="J337" s="1454"/>
      <c r="K337" s="1454"/>
      <c r="L337" s="1454"/>
      <c r="M337" s="1454"/>
      <c r="N337" s="1454"/>
      <c r="O337" s="1454"/>
      <c r="P337" s="1454"/>
      <c r="Q337" s="1454"/>
      <c r="R337" s="1454"/>
      <c r="T337" s="3" t="s">
        <v>75</v>
      </c>
      <c r="V337" s="3"/>
      <c r="W337" s="3"/>
      <c r="X337" s="3"/>
      <c r="Y337" s="3"/>
      <c r="AA337" s="1454" t="s">
        <v>2689</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t="s">
        <v>2684</v>
      </c>
      <c r="I338" s="1454"/>
      <c r="J338" s="1454"/>
      <c r="K338" s="1454"/>
      <c r="L338" s="1454"/>
      <c r="M338" s="1454"/>
      <c r="N338" s="1454"/>
      <c r="O338" s="1454"/>
      <c r="P338" s="1454"/>
      <c r="Q338" s="1454"/>
      <c r="R338" s="1454"/>
      <c r="T338" s="3" t="s">
        <v>87</v>
      </c>
      <c r="V338" s="3"/>
      <c r="W338" s="3"/>
      <c r="X338" s="3"/>
      <c r="Y338" s="3"/>
      <c r="AA338" s="1454" t="s">
        <v>2690</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437" t="s">
        <v>2685</v>
      </c>
      <c r="I339" s="1437"/>
      <c r="J339" s="1437"/>
      <c r="K339" s="1437"/>
      <c r="L339" s="1437"/>
      <c r="M339" s="1437"/>
      <c r="N339" s="4" t="s">
        <v>205</v>
      </c>
      <c r="O339" s="4"/>
      <c r="P339" s="1428"/>
      <c r="Q339" s="1428"/>
      <c r="R339" s="1428"/>
      <c r="S339" s="3"/>
      <c r="T339" s="3" t="s">
        <v>88</v>
      </c>
      <c r="V339" s="3"/>
      <c r="W339" s="3"/>
      <c r="X339" s="3"/>
      <c r="Y339" s="3"/>
      <c r="AA339" s="1437" t="s">
        <v>2691</v>
      </c>
      <c r="AB339" s="1437"/>
      <c r="AC339" s="1437"/>
      <c r="AD339" s="1437"/>
      <c r="AE339" s="1437"/>
      <c r="AF339" s="1437"/>
      <c r="AG339" s="4" t="s">
        <v>205</v>
      </c>
      <c r="AH339" s="4"/>
      <c r="AI339" s="1428"/>
      <c r="AJ339" s="1428"/>
      <c r="AK339" s="1428"/>
    </row>
    <row r="340" spans="1:66" ht="12.95" customHeight="1">
      <c r="B340" s="3" t="s">
        <v>89</v>
      </c>
      <c r="C340" s="3"/>
      <c r="D340" s="3"/>
      <c r="E340" s="3"/>
      <c r="F340" s="3"/>
      <c r="G340" s="3"/>
      <c r="H340" s="1420" t="s">
        <v>2686</v>
      </c>
      <c r="I340" s="1420"/>
      <c r="J340" s="1420"/>
      <c r="K340" s="1420"/>
      <c r="L340" s="1420"/>
      <c r="M340" s="1420"/>
      <c r="N340" s="4"/>
      <c r="O340" s="4"/>
      <c r="P340" s="35"/>
      <c r="Q340" s="35"/>
      <c r="R340" s="35"/>
      <c r="S340" s="3"/>
      <c r="T340" s="3" t="s">
        <v>89</v>
      </c>
      <c r="V340" s="3"/>
      <c r="W340" s="3"/>
      <c r="X340" s="3"/>
      <c r="Y340" s="3"/>
      <c r="AA340" s="1420" t="s">
        <v>2692</v>
      </c>
      <c r="AB340" s="1420"/>
      <c r="AC340" s="1420"/>
      <c r="AD340" s="1420"/>
      <c r="AE340" s="1420"/>
      <c r="AF340" s="1420"/>
      <c r="AG340" s="4"/>
      <c r="AH340" s="4"/>
      <c r="AI340" s="35"/>
      <c r="AJ340" s="35"/>
      <c r="AK340" s="35"/>
    </row>
    <row r="341" spans="1:66" ht="12.95" customHeight="1">
      <c r="B341" s="3" t="s">
        <v>76</v>
      </c>
      <c r="C341" s="3"/>
      <c r="D341" s="3"/>
      <c r="E341" s="3"/>
      <c r="F341" s="3"/>
      <c r="G341" s="3"/>
      <c r="H341" s="1454" t="s">
        <v>2687</v>
      </c>
      <c r="I341" s="1454"/>
      <c r="J341" s="1454"/>
      <c r="K341" s="1454"/>
      <c r="L341" s="1454"/>
      <c r="M341" s="1454"/>
      <c r="N341" s="1355"/>
      <c r="O341" s="1355"/>
      <c r="P341" s="1355"/>
      <c r="Q341" s="1355"/>
      <c r="R341" s="1355"/>
      <c r="S341" s="3"/>
      <c r="T341" s="3" t="s">
        <v>76</v>
      </c>
      <c r="V341" s="3"/>
      <c r="W341" s="3"/>
      <c r="X341" s="3"/>
      <c r="Y341" s="3"/>
      <c r="AA341" s="1454" t="s">
        <v>2693</v>
      </c>
      <c r="AB341" s="1454"/>
      <c r="AC341" s="1454"/>
      <c r="AD341" s="1454"/>
      <c r="AE341" s="1454"/>
      <c r="AF341" s="1454"/>
      <c r="AG341" s="1355"/>
      <c r="AH341" s="1355"/>
      <c r="AI341" s="1355"/>
      <c r="AJ341" s="1355"/>
      <c r="AK341" s="135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55"/>
      <c r="Q343" s="1355"/>
      <c r="R343" s="1355"/>
      <c r="S343" s="1355"/>
      <c r="T343" s="1355"/>
      <c r="U343" s="1355"/>
      <c r="V343" s="1355"/>
      <c r="W343" s="1355"/>
      <c r="X343" s="1355"/>
      <c r="Y343" s="1355"/>
      <c r="Z343" s="1355"/>
      <c r="AA343" s="1355"/>
      <c r="AB343" s="1355"/>
      <c r="AC343" s="1355"/>
      <c r="AD343" s="1355"/>
      <c r="AE343" s="1355"/>
      <c r="BN343" t="s">
        <v>668</v>
      </c>
    </row>
    <row r="344" spans="1:66" ht="12.95" customHeight="1">
      <c r="B344" s="4"/>
      <c r="C344" s="4"/>
      <c r="D344" s="4"/>
      <c r="E344" s="4"/>
      <c r="F344" s="4"/>
      <c r="I344" s="4" t="s">
        <v>470</v>
      </c>
      <c r="P344" s="1454"/>
      <c r="Q344" s="1454"/>
      <c r="R344" s="1454"/>
      <c r="S344" s="1454"/>
      <c r="T344" s="1454"/>
      <c r="U344" s="1454"/>
      <c r="V344" s="1454"/>
      <c r="W344" s="1454"/>
      <c r="X344" s="1454"/>
      <c r="Y344" s="1454"/>
      <c r="Z344" s="1454"/>
      <c r="AA344" s="1454"/>
      <c r="AB344" s="1454"/>
      <c r="AC344" s="1454"/>
      <c r="AD344" s="1454"/>
      <c r="AE344" s="1454"/>
      <c r="BN344" t="s">
        <v>544</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02"/>
      <c r="I347" s="4" t="s">
        <v>88</v>
      </c>
      <c r="P347" s="1420"/>
      <c r="Q347" s="1420"/>
      <c r="R347" s="1420"/>
      <c r="S347" s="1420"/>
      <c r="T347" s="1420"/>
      <c r="U347" s="1420"/>
      <c r="V347" s="1420"/>
      <c r="W347" s="1420"/>
      <c r="X347" s="1420"/>
      <c r="Y347" s="1420"/>
      <c r="Z347" s="1420"/>
      <c r="AA347" s="4" t="s">
        <v>205</v>
      </c>
      <c r="AB347" s="4"/>
      <c r="AC347" s="1354"/>
      <c r="AD347" s="1354"/>
      <c r="AE347" s="1354"/>
      <c r="AF347" s="302"/>
      <c r="AG347" s="4"/>
      <c r="AH347" s="4"/>
      <c r="AI347" s="4"/>
      <c r="AJ347" s="4"/>
      <c r="AK347" s="4"/>
    </row>
    <row r="348" spans="1:66" ht="12.95" customHeight="1">
      <c r="B348" s="4"/>
      <c r="C348" s="4"/>
      <c r="D348" s="4"/>
      <c r="E348" s="4"/>
      <c r="F348" s="4"/>
      <c r="G348" s="4"/>
      <c r="H348" s="302"/>
      <c r="I348" s="4" t="s">
        <v>89</v>
      </c>
      <c r="P348" s="1420"/>
      <c r="Q348" s="1420"/>
      <c r="R348" s="1420"/>
      <c r="S348" s="1420"/>
      <c r="T348" s="1420"/>
      <c r="U348" s="1420"/>
      <c r="V348" s="1420"/>
      <c r="W348" s="1420"/>
      <c r="X348" s="1420"/>
      <c r="Y348" s="1420"/>
      <c r="Z348" s="1420"/>
      <c r="AF348" s="302"/>
      <c r="AG348" s="4"/>
      <c r="AH348" s="4"/>
      <c r="AI348" s="35"/>
      <c r="AJ348" s="35"/>
      <c r="AK348" s="35"/>
    </row>
    <row r="349" spans="1:66" ht="12.95" customHeight="1">
      <c r="B349" s="4"/>
      <c r="C349" s="4"/>
      <c r="D349" s="4"/>
      <c r="E349" s="4"/>
      <c r="F349" s="4"/>
      <c r="G349" s="4"/>
      <c r="I349" s="4" t="s">
        <v>76</v>
      </c>
      <c r="P349" s="1355"/>
      <c r="Q349" s="1355"/>
      <c r="R349" s="1355"/>
      <c r="S349" s="1355"/>
      <c r="T349" s="1355"/>
      <c r="U349" s="1355"/>
      <c r="V349" s="1355"/>
      <c r="W349" s="1355"/>
      <c r="X349" s="1355"/>
      <c r="Y349" s="1355"/>
      <c r="Z349" s="1355"/>
      <c r="AA349" s="1355"/>
      <c r="AB349" s="1355"/>
      <c r="AC349" s="1355"/>
      <c r="AD349" s="1355"/>
      <c r="AE349" s="1355"/>
    </row>
    <row r="350" spans="1:66" ht="12.95" customHeight="1">
      <c r="T350" s="8"/>
      <c r="U350" s="8"/>
      <c r="V350" s="8"/>
      <c r="W350" s="8"/>
      <c r="X350" s="8"/>
      <c r="Y350" s="8"/>
      <c r="Z350" s="8"/>
      <c r="AU350" s="95"/>
      <c r="AV350" s="95"/>
      <c r="AW350" s="95"/>
      <c r="AX350" s="95"/>
      <c r="AY350" s="95"/>
    </row>
    <row r="351" spans="1:66" ht="12.95" customHeight="1">
      <c r="A351" s="1436" t="s">
        <v>541</v>
      </c>
      <c r="B351" s="1436"/>
      <c r="C351" s="1436"/>
      <c r="D351" s="1436"/>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c r="AA351" s="1436"/>
      <c r="AB351" s="1436"/>
      <c r="AC351" s="1436"/>
      <c r="AD351" s="1436"/>
      <c r="AE351" s="1436"/>
      <c r="AF351" s="1436"/>
      <c r="AG351" s="1436"/>
      <c r="AH351" s="1436"/>
      <c r="AI351" s="1436"/>
      <c r="AJ351" s="1436"/>
      <c r="AK351" s="1436"/>
      <c r="AL351" s="1436"/>
      <c r="AM351" s="1436"/>
      <c r="AN351" s="1436"/>
      <c r="AO351" s="1436"/>
      <c r="AP351" s="1436"/>
      <c r="AQ351" s="1436"/>
      <c r="AR351" s="1436"/>
      <c r="AS351" s="1436"/>
      <c r="AT351" s="1436"/>
      <c r="AU351" s="95"/>
      <c r="AV351" s="95"/>
      <c r="AW351" s="95"/>
      <c r="AX351" s="95"/>
      <c r="AY351" s="95"/>
    </row>
    <row r="352" spans="1:66" ht="12.95" customHeight="1">
      <c r="A352" s="1436"/>
      <c r="B352" s="1436"/>
      <c r="C352" s="1436"/>
      <c r="D352" s="1436"/>
      <c r="E352" s="1436"/>
      <c r="F352" s="1436"/>
      <c r="G352" s="1436"/>
      <c r="H352" s="1436"/>
      <c r="I352" s="1436"/>
      <c r="J352" s="1436"/>
      <c r="K352" s="1436"/>
      <c r="L352" s="1436"/>
      <c r="M352" s="1436"/>
      <c r="N352" s="1436"/>
      <c r="O352" s="1436"/>
      <c r="P352" s="1436"/>
      <c r="Q352" s="1436"/>
      <c r="R352" s="1436"/>
      <c r="S352" s="1436"/>
      <c r="T352" s="1436"/>
      <c r="U352" s="1436"/>
      <c r="V352" s="1436"/>
      <c r="W352" s="1436"/>
      <c r="X352" s="1436"/>
      <c r="Y352" s="1436"/>
      <c r="Z352" s="1436"/>
      <c r="AA352" s="1436"/>
      <c r="AB352" s="1436"/>
      <c r="AC352" s="1436"/>
      <c r="AD352" s="1436"/>
      <c r="AE352" s="1436"/>
      <c r="AF352" s="1436"/>
      <c r="AG352" s="1436"/>
      <c r="AH352" s="1436"/>
      <c r="AI352" s="1436"/>
      <c r="AJ352" s="1436"/>
      <c r="AK352" s="1436"/>
      <c r="AL352" s="1436"/>
      <c r="AM352" s="1436"/>
      <c r="AN352" s="1436"/>
      <c r="AO352" s="1436"/>
      <c r="AP352" s="1436"/>
      <c r="AQ352" s="1436"/>
      <c r="AR352" s="1436"/>
      <c r="AS352" s="1436"/>
      <c r="AT352" s="14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2097</v>
      </c>
      <c r="M355" s="1333" t="s">
        <v>544</v>
      </c>
      <c r="N355" s="1333"/>
      <c r="P355" t="s">
        <v>1648</v>
      </c>
      <c r="AJ355" s="1333" t="s">
        <v>590</v>
      </c>
      <c r="AK355" s="1333"/>
    </row>
    <row r="356" spans="1:46" ht="12.95" customHeight="1">
      <c r="D356" s="3" t="s">
        <v>1637</v>
      </c>
      <c r="M356" s="1333" t="s">
        <v>590</v>
      </c>
      <c r="N356" s="1333"/>
      <c r="P356" s="3" t="s">
        <v>1717</v>
      </c>
      <c r="AJ356" s="1458"/>
      <c r="AK356" s="1458"/>
    </row>
    <row r="357" spans="1:46" ht="12.95" customHeight="1">
      <c r="D357" s="3" t="s">
        <v>703</v>
      </c>
      <c r="M357" s="1333" t="s">
        <v>590</v>
      </c>
      <c r="N357" s="1333"/>
      <c r="P357" t="s">
        <v>1647</v>
      </c>
      <c r="AJ357" s="1333" t="s">
        <v>590</v>
      </c>
      <c r="AK357" s="1333"/>
    </row>
    <row r="358" spans="1:46" ht="12.95" customHeight="1">
      <c r="D358" s="3" t="s">
        <v>704</v>
      </c>
      <c r="M358" s="1333" t="s">
        <v>590</v>
      </c>
      <c r="N358" s="1333"/>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3" t="s">
        <v>590</v>
      </c>
      <c r="O363" s="1333"/>
      <c r="P363" s="40"/>
      <c r="Q363" s="40"/>
      <c r="R363" s="40"/>
      <c r="S363" s="40"/>
      <c r="T363" s="40"/>
      <c r="U363" s="40"/>
      <c r="V363" s="40"/>
      <c r="W363" s="40"/>
      <c r="X363" s="40"/>
      <c r="Y363" s="40"/>
      <c r="Z363" s="40"/>
      <c r="AC363" s="40"/>
      <c r="AD363" s="40"/>
      <c r="AE363" s="40"/>
    </row>
    <row r="364" spans="1:46" ht="12.95" customHeight="1">
      <c r="E364" t="s">
        <v>369</v>
      </c>
      <c r="Y364" s="1333" t="s">
        <v>590</v>
      </c>
      <c r="Z364" s="1333"/>
    </row>
    <row r="365" spans="1:46" ht="12.95" customHeight="1">
      <c r="D365" s="4" t="s">
        <v>976</v>
      </c>
      <c r="Q365" s="1355"/>
      <c r="R365" s="1355"/>
      <c r="S365" s="1355"/>
      <c r="T365" s="1355"/>
      <c r="U365" s="1355"/>
      <c r="V365" s="1355"/>
      <c r="W365" s="1355"/>
      <c r="X365" s="1355"/>
      <c r="Y365" s="1355"/>
      <c r="Z365" s="1355"/>
      <c r="AA365" s="1355"/>
      <c r="AB365" s="1355"/>
      <c r="AC365" s="1355"/>
      <c r="AD365" s="1355"/>
      <c r="AE365" s="1355"/>
      <c r="AF365" s="1355"/>
      <c r="AG365" s="1355"/>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3" t="s">
        <v>590</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26" t="s">
        <v>705</v>
      </c>
      <c r="F368" s="1426"/>
      <c r="G368" s="1426"/>
      <c r="H368" s="1426"/>
      <c r="I368" s="1426"/>
      <c r="J368" s="1426"/>
      <c r="K368" s="1426"/>
      <c r="L368" s="1426"/>
      <c r="M368" s="1426"/>
      <c r="N368" s="1426"/>
      <c r="O368" s="1426"/>
      <c r="P368" s="1426"/>
      <c r="Q368" s="1426"/>
      <c r="R368" s="1426"/>
      <c r="S368" s="1426"/>
      <c r="T368" s="1426"/>
      <c r="U368" s="1426"/>
      <c r="V368" s="1426"/>
      <c r="W368" s="1426"/>
      <c r="X368" s="1426"/>
      <c r="Y368" s="1426"/>
      <c r="Z368" s="1426"/>
      <c r="AA368" s="1426"/>
      <c r="AB368" s="1426"/>
      <c r="AC368" s="1426"/>
      <c r="AD368" s="1426"/>
      <c r="AE368" s="1426"/>
      <c r="AF368" s="1426"/>
      <c r="AG368" s="1426"/>
      <c r="AH368" s="1426"/>
    </row>
    <row r="369" spans="1:34" ht="12.95" customHeight="1">
      <c r="E369" s="1426"/>
      <c r="F369" s="1426"/>
      <c r="G369" s="1426"/>
      <c r="H369" s="1426"/>
      <c r="I369" s="1426"/>
      <c r="J369" s="1426"/>
      <c r="K369" s="1426"/>
      <c r="L369" s="1426"/>
      <c r="M369" s="1426"/>
      <c r="N369" s="1426"/>
      <c r="O369" s="1426"/>
      <c r="P369" s="1426"/>
      <c r="Q369" s="1426"/>
      <c r="R369" s="1426"/>
      <c r="S369" s="1426"/>
      <c r="T369" s="1426"/>
      <c r="U369" s="1426"/>
      <c r="V369" s="1426"/>
      <c r="W369" s="1426"/>
      <c r="X369" s="1426"/>
      <c r="Y369" s="1426"/>
      <c r="Z369" s="1426"/>
      <c r="AA369" s="1426"/>
      <c r="AB369" s="1426"/>
      <c r="AC369" s="1426"/>
      <c r="AD369" s="1426"/>
      <c r="AE369" s="1426"/>
      <c r="AF369" s="1426"/>
      <c r="AG369" s="1426"/>
      <c r="AH369" s="1426"/>
    </row>
    <row r="370" spans="1:34" ht="12.95" customHeight="1">
      <c r="E370" s="4" t="s">
        <v>447</v>
      </c>
      <c r="F370" s="4"/>
      <c r="G370" s="4"/>
      <c r="H370" s="4"/>
      <c r="I370" s="4"/>
      <c r="J370" s="4"/>
      <c r="K370" s="4"/>
      <c r="L370" s="4"/>
      <c r="N370" s="1745"/>
      <c r="O370" s="1745"/>
      <c r="P370" s="1745"/>
      <c r="Q370" s="1745"/>
      <c r="R370" s="4"/>
      <c r="U370" s="4" t="s">
        <v>448</v>
      </c>
      <c r="V370" s="4"/>
      <c r="W370" s="4"/>
      <c r="X370" s="4"/>
      <c r="Y370" s="4"/>
      <c r="Z370" s="4"/>
      <c r="AA370" s="4"/>
      <c r="AB370" s="4"/>
      <c r="AC370" s="1745"/>
      <c r="AD370" s="1745"/>
      <c r="AE370" s="1745"/>
      <c r="AF370" s="1745"/>
    </row>
    <row r="371" spans="1:34" ht="12.95" customHeight="1">
      <c r="E371" s="4" t="s">
        <v>449</v>
      </c>
      <c r="F371" s="4"/>
      <c r="G371" s="4"/>
      <c r="H371" s="4"/>
      <c r="I371" s="4"/>
      <c r="J371" s="4"/>
      <c r="K371" s="4"/>
      <c r="L371" s="4"/>
      <c r="N371" s="1745"/>
      <c r="O371" s="1745"/>
      <c r="P371" s="1745"/>
      <c r="Q371" s="1745"/>
      <c r="R371" s="4"/>
      <c r="U371" s="4" t="s">
        <v>0</v>
      </c>
      <c r="V371" s="4"/>
      <c r="W371" s="4"/>
      <c r="X371" s="4"/>
      <c r="Y371" s="4"/>
      <c r="Z371" s="4"/>
      <c r="AA371" s="4"/>
      <c r="AB371" s="4"/>
      <c r="AC371" s="1745"/>
      <c r="AD371" s="1745"/>
      <c r="AE371" s="1745"/>
      <c r="AF371" s="1745"/>
    </row>
    <row r="372" spans="1:34" ht="12.95" customHeight="1">
      <c r="E372" s="4" t="s">
        <v>1</v>
      </c>
      <c r="F372" s="4"/>
      <c r="G372" s="4"/>
      <c r="H372" s="4"/>
      <c r="I372" s="4"/>
      <c r="J372" s="4"/>
      <c r="K372" s="4"/>
      <c r="L372" s="4"/>
      <c r="N372" s="1745"/>
      <c r="O372" s="1745"/>
      <c r="P372" s="1745"/>
      <c r="Q372" s="1745"/>
      <c r="R372" s="4"/>
      <c r="V372" s="4"/>
      <c r="W372" s="4"/>
      <c r="X372" s="4"/>
      <c r="Y372" s="4"/>
      <c r="Z372" s="4"/>
      <c r="AA372" s="4"/>
      <c r="AB372" s="4"/>
    </row>
    <row r="373" spans="1:34" ht="12.95"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2083</v>
      </c>
      <c r="F377" s="4"/>
      <c r="G377" s="4"/>
      <c r="H377" s="4"/>
      <c r="I377" s="4"/>
      <c r="J377" s="4"/>
      <c r="K377" s="4"/>
      <c r="L377" s="4"/>
      <c r="N377" t="s">
        <v>2078</v>
      </c>
      <c r="R377" s="27" t="s">
        <v>304</v>
      </c>
      <c r="S377" s="1815"/>
      <c r="T377" s="1815"/>
      <c r="U377" s="1" t="s">
        <v>305</v>
      </c>
      <c r="V377" s="1815"/>
      <c r="W377" s="1815"/>
      <c r="Y377" t="s">
        <v>2078</v>
      </c>
      <c r="AC377" s="27" t="s">
        <v>304</v>
      </c>
      <c r="AD377" s="1815"/>
      <c r="AE377" s="1815"/>
      <c r="AF377" s="1" t="s">
        <v>305</v>
      </c>
      <c r="AG377" s="1815"/>
      <c r="AH377" s="1815"/>
    </row>
    <row r="378" spans="1:34" ht="12.95" customHeight="1">
      <c r="E378" s="4" t="s">
        <v>985</v>
      </c>
      <c r="F378" s="4"/>
      <c r="G378" s="4"/>
      <c r="H378" s="4"/>
      <c r="I378" s="4"/>
      <c r="J378" s="4"/>
      <c r="K378" s="4"/>
      <c r="L378" s="4"/>
      <c r="N378" s="1815"/>
      <c r="O378" s="1815"/>
      <c r="P378" s="1815"/>
    </row>
    <row r="379" spans="1:34" ht="12.95" customHeight="1">
      <c r="E379" s="204" t="s">
        <v>2084</v>
      </c>
      <c r="F379" s="4"/>
      <c r="G379" s="4"/>
      <c r="H379" s="4"/>
      <c r="I379" s="4"/>
      <c r="J379" s="4"/>
      <c r="K379" s="4"/>
      <c r="L379" s="4"/>
      <c r="AG379" s="1799" t="s">
        <v>590</v>
      </c>
      <c r="AH379" s="1799"/>
    </row>
    <row r="380" spans="1:34" ht="12.95" customHeight="1">
      <c r="E380" s="4"/>
      <c r="F380" s="4"/>
      <c r="G380" s="4" t="s">
        <v>2085</v>
      </c>
      <c r="H380" s="4"/>
      <c r="I380" s="4"/>
      <c r="J380" s="4"/>
      <c r="K380" s="4"/>
      <c r="L380" s="4"/>
      <c r="AG380" s="1799" t="s">
        <v>590</v>
      </c>
      <c r="AH380" s="1799"/>
    </row>
    <row r="381" spans="1:34" ht="12.95" customHeight="1">
      <c r="E381" s="4"/>
      <c r="F381" s="4"/>
      <c r="G381" s="320" t="s">
        <v>986</v>
      </c>
      <c r="H381" s="4"/>
      <c r="I381" s="4"/>
      <c r="J381" s="4"/>
      <c r="K381" s="4"/>
      <c r="L381" s="4"/>
      <c r="V381" s="1333" t="s">
        <v>590</v>
      </c>
      <c r="W381" s="1333"/>
      <c r="Y381" s="22" t="s">
        <v>978</v>
      </c>
    </row>
    <row r="382" spans="1:34" ht="12.95" customHeight="1">
      <c r="E382" s="4" t="s">
        <v>979</v>
      </c>
      <c r="F382" s="4"/>
      <c r="G382" s="4"/>
      <c r="H382" s="4"/>
      <c r="I382" s="4"/>
      <c r="J382" s="4"/>
      <c r="K382" s="4"/>
      <c r="L382" s="4"/>
      <c r="V382" s="1333" t="s">
        <v>590</v>
      </c>
      <c r="W382" s="1333"/>
      <c r="Y382" s="4" t="s">
        <v>980</v>
      </c>
    </row>
    <row r="383" spans="1:34" ht="12.95" customHeight="1"/>
    <row r="384" spans="1:34" ht="12.95" customHeight="1">
      <c r="A384" s="2" t="s">
        <v>78</v>
      </c>
      <c r="B384" s="2"/>
    </row>
    <row r="385" spans="4:36" ht="12.95" customHeight="1">
      <c r="D385" t="s">
        <v>427</v>
      </c>
      <c r="J385" s="1355" t="s">
        <v>2694</v>
      </c>
      <c r="K385" s="1355"/>
      <c r="L385" s="1355"/>
      <c r="M385" s="1355"/>
      <c r="N385" s="1355"/>
      <c r="O385" s="1355"/>
      <c r="P385" s="1355"/>
      <c r="Q385" s="1355"/>
      <c r="R385" s="1355"/>
      <c r="S385" s="1355"/>
      <c r="T385" s="1355"/>
      <c r="U385" s="1355"/>
      <c r="V385" s="8" t="s">
        <v>83</v>
      </c>
      <c r="W385" s="8"/>
      <c r="X385" s="8"/>
      <c r="Y385" s="8"/>
      <c r="Z385" s="8"/>
      <c r="AA385" s="8"/>
      <c r="AB385" s="8"/>
      <c r="AC385" s="1355" t="s">
        <v>2695</v>
      </c>
      <c r="AD385" s="1355"/>
      <c r="AE385" s="1355"/>
      <c r="AF385" s="1355"/>
      <c r="AG385" s="1355"/>
      <c r="AH385" s="1355"/>
      <c r="AI385" s="1355"/>
      <c r="AJ385" s="1355"/>
    </row>
    <row r="386" spans="4:36" ht="12.95" customHeight="1">
      <c r="D386" s="3" t="s">
        <v>1180</v>
      </c>
      <c r="J386" s="1454" t="s">
        <v>2695</v>
      </c>
      <c r="K386" s="1454"/>
      <c r="L386" s="1454"/>
      <c r="M386" s="1454"/>
      <c r="N386" s="1454"/>
      <c r="O386" s="1454"/>
      <c r="P386" s="1454"/>
      <c r="Q386" s="1454"/>
      <c r="R386" s="1454"/>
      <c r="S386" s="1454"/>
      <c r="T386" s="1454"/>
      <c r="U386" s="1454"/>
      <c r="V386" s="3" t="s">
        <v>1180</v>
      </c>
      <c r="W386" s="8"/>
      <c r="X386" s="8"/>
      <c r="Y386" s="8"/>
      <c r="Z386" s="8"/>
      <c r="AA386" s="8"/>
      <c r="AB386" s="8"/>
      <c r="AC386" s="1355" t="s">
        <v>2698</v>
      </c>
      <c r="AD386" s="1355"/>
      <c r="AE386" s="1355"/>
      <c r="AF386" s="1355"/>
      <c r="AG386" s="1355"/>
      <c r="AH386" s="1355"/>
      <c r="AI386" s="1355"/>
      <c r="AJ386" s="1355"/>
    </row>
    <row r="387" spans="4:36" ht="12.95" customHeight="1">
      <c r="D387" s="3" t="s">
        <v>440</v>
      </c>
      <c r="J387" s="1454" t="s">
        <v>2696</v>
      </c>
      <c r="K387" s="1454"/>
      <c r="L387" s="1454"/>
      <c r="M387" s="1454"/>
      <c r="N387" s="1454"/>
      <c r="O387" s="1454"/>
      <c r="P387" s="1454"/>
      <c r="Q387" s="1454"/>
      <c r="R387" s="1454"/>
      <c r="S387" s="1454"/>
      <c r="T387" s="1454"/>
      <c r="U387" s="1454"/>
      <c r="V387" s="3" t="s">
        <v>440</v>
      </c>
      <c r="W387" s="8"/>
      <c r="X387" s="8"/>
      <c r="Y387" s="8"/>
      <c r="Z387" s="8"/>
      <c r="AA387" s="8"/>
      <c r="AB387" s="8"/>
      <c r="AC387" s="1355"/>
      <c r="AD387" s="1355"/>
      <c r="AE387" s="1355"/>
      <c r="AF387" s="1355"/>
      <c r="AG387" s="1355"/>
      <c r="AH387" s="1355"/>
      <c r="AI387" s="1355"/>
      <c r="AJ387" s="1355"/>
    </row>
    <row r="388" spans="4:36" ht="12.95" customHeight="1">
      <c r="D388" t="s">
        <v>1176</v>
      </c>
      <c r="J388" s="1380" t="s">
        <v>2697</v>
      </c>
      <c r="K388" s="1380"/>
      <c r="L388" s="1380"/>
      <c r="M388" s="1380"/>
      <c r="N388" s="1380"/>
      <c r="O388" s="1380"/>
      <c r="P388" s="1380"/>
      <c r="Q388" s="1380"/>
      <c r="R388" s="1380"/>
      <c r="S388" s="1380"/>
      <c r="T388" s="1380"/>
      <c r="U388" s="1380"/>
      <c r="V388" s="1355"/>
      <c r="W388" s="1355"/>
      <c r="X388" s="1355"/>
      <c r="Y388" s="1355"/>
      <c r="Z388" s="1355"/>
      <c r="AA388" s="1355"/>
      <c r="AB388" s="1355"/>
      <c r="AC388" s="1355"/>
      <c r="AD388" s="1355"/>
      <c r="AE388" s="1355"/>
      <c r="AF388" s="1355"/>
      <c r="AG388" s="1355"/>
      <c r="AH388" s="1355"/>
      <c r="AI388" s="1355"/>
      <c r="AJ388" s="1355"/>
    </row>
    <row r="389" spans="4:36" ht="12.95" customHeight="1">
      <c r="D389" t="s">
        <v>4</v>
      </c>
      <c r="Q389" s="1738">
        <v>45225</v>
      </c>
      <c r="R389" s="1738"/>
      <c r="S389" s="1738"/>
      <c r="T389" s="1738"/>
      <c r="U389" s="1738"/>
      <c r="V389" t="s">
        <v>308</v>
      </c>
      <c r="AI389" s="1333" t="s">
        <v>668</v>
      </c>
      <c r="AJ389" s="1333"/>
    </row>
    <row r="390" spans="4:36" ht="12.95" customHeight="1">
      <c r="D390" t="s">
        <v>5</v>
      </c>
      <c r="Q390" s="1516"/>
      <c r="R390" s="1818"/>
      <c r="S390" s="1818"/>
      <c r="T390" s="1818"/>
      <c r="U390" s="1818"/>
      <c r="W390" s="21" t="s">
        <v>74</v>
      </c>
      <c r="AG390" s="1769"/>
      <c r="AH390" s="1769"/>
      <c r="AI390" s="1769"/>
      <c r="AJ390" s="1769"/>
    </row>
    <row r="391" spans="4:36" ht="12.95" customHeight="1">
      <c r="D391" t="s">
        <v>426</v>
      </c>
      <c r="Q391" s="1824">
        <v>6484800</v>
      </c>
      <c r="R391" s="1824"/>
      <c r="S391" s="1824"/>
      <c r="T391" s="1824"/>
      <c r="U391" s="1824"/>
      <c r="V391" s="3" t="s">
        <v>1179</v>
      </c>
      <c r="AG391" s="1776"/>
      <c r="AH391" s="1776"/>
      <c r="AI391" s="1776"/>
      <c r="AJ391" s="1776"/>
    </row>
    <row r="392" spans="4:36" ht="12.95" customHeight="1">
      <c r="D392" t="s">
        <v>88</v>
      </c>
      <c r="I392" s="1437" t="s">
        <v>2718</v>
      </c>
      <c r="J392" s="1437"/>
      <c r="K392" s="1437"/>
      <c r="L392" s="1437"/>
      <c r="M392" s="1437"/>
      <c r="N392" s="1437"/>
      <c r="Q392" s="4" t="s">
        <v>205</v>
      </c>
      <c r="S392" s="1823"/>
      <c r="T392" s="1823"/>
      <c r="U392" s="1823"/>
      <c r="V392" t="s">
        <v>73</v>
      </c>
      <c r="AI392" s="1333" t="s">
        <v>668</v>
      </c>
      <c r="AJ392" s="1333"/>
    </row>
    <row r="393" spans="4:36" ht="12.95" customHeight="1">
      <c r="D393" t="s">
        <v>309</v>
      </c>
      <c r="Q393" s="1557">
        <f>AG393/12</f>
        <v>46199.75</v>
      </c>
      <c r="R393" s="1557"/>
      <c r="S393" s="1557"/>
      <c r="T393" s="1557"/>
      <c r="U393" s="1557"/>
      <c r="V393" t="s">
        <v>310</v>
      </c>
      <c r="AG393" s="1769">
        <v>554397</v>
      </c>
      <c r="AH393" s="1769"/>
      <c r="AI393" s="1769"/>
      <c r="AJ393" s="1769"/>
    </row>
    <row r="394" spans="4:36" ht="12.95" customHeight="1">
      <c r="D394" t="s">
        <v>311</v>
      </c>
      <c r="Q394" s="1767">
        <v>1.24E-2</v>
      </c>
      <c r="R394" s="1767"/>
      <c r="S394" s="1767"/>
      <c r="T394" s="1767"/>
      <c r="U394" s="1767"/>
      <c r="V394" t="s">
        <v>1161</v>
      </c>
      <c r="AG394" s="1769"/>
      <c r="AH394" s="1769"/>
      <c r="AI394" s="1769"/>
      <c r="AJ394" s="1769"/>
    </row>
    <row r="395" spans="4:36" ht="12.95" customHeight="1">
      <c r="D395" t="s">
        <v>1160</v>
      </c>
      <c r="AG395" s="1769"/>
      <c r="AH395" s="1769"/>
      <c r="AI395" s="1769"/>
      <c r="AJ395" s="1769"/>
    </row>
    <row r="396" spans="4:36" ht="12.95" customHeight="1">
      <c r="AG396" s="456"/>
      <c r="AH396" s="456"/>
      <c r="AI396" s="456"/>
      <c r="AJ396" s="456"/>
    </row>
    <row r="397" spans="4:36" ht="12.95" customHeight="1">
      <c r="D397" s="3" t="s">
        <v>2141</v>
      </c>
      <c r="AG397" s="456"/>
      <c r="AH397" s="456"/>
      <c r="AI397" s="1333" t="s">
        <v>668</v>
      </c>
      <c r="AJ397" s="1333"/>
    </row>
    <row r="398" spans="4:36" ht="12.95" customHeight="1">
      <c r="D398" s="3" t="s">
        <v>1665</v>
      </c>
      <c r="T398" s="1768"/>
      <c r="U398" s="1768"/>
      <c r="V398" s="1768"/>
      <c r="W398" s="1768"/>
      <c r="X398" s="1768"/>
      <c r="Y398" s="1768"/>
      <c r="Z398" s="1768"/>
      <c r="AA398" s="1768"/>
      <c r="AB398" s="1768"/>
      <c r="AC398" s="1768"/>
      <c r="AD398" s="1768"/>
      <c r="AE398" s="1768"/>
      <c r="AF398" s="1768"/>
      <c r="AG398" s="1768"/>
      <c r="AH398" s="1768"/>
      <c r="AI398" s="1768"/>
      <c r="AJ398" s="1768"/>
    </row>
    <row r="399" spans="4:36" ht="12.95" customHeight="1">
      <c r="D399" s="3" t="s">
        <v>1664</v>
      </c>
      <c r="T399" s="1768"/>
      <c r="U399" s="1768"/>
      <c r="V399" s="1768"/>
      <c r="W399" s="1768"/>
      <c r="X399" s="1768"/>
      <c r="Y399" s="1768"/>
      <c r="Z399" s="1768"/>
      <c r="AA399" s="1768"/>
      <c r="AB399" s="1768"/>
      <c r="AC399" s="1768"/>
      <c r="AD399" s="1768"/>
      <c r="AE399" s="1768"/>
      <c r="AF399" s="1768"/>
      <c r="AG399" s="1768"/>
      <c r="AH399" s="1768"/>
      <c r="AI399" s="1768"/>
      <c r="AJ399" s="1768"/>
    </row>
    <row r="400" spans="4:36" ht="12.95" customHeight="1">
      <c r="AG400" s="456"/>
      <c r="AH400" s="456"/>
      <c r="AI400" s="456"/>
      <c r="AJ400" s="456"/>
    </row>
    <row r="401" spans="1:36" ht="12.95" customHeight="1">
      <c r="D401" s="3" t="s">
        <v>1658</v>
      </c>
      <c r="S401" s="1768" t="s">
        <v>544</v>
      </c>
      <c r="T401" s="1768"/>
      <c r="U401" s="1768"/>
      <c r="V401" t="s">
        <v>1659</v>
      </c>
      <c r="AG401" s="1819">
        <v>99</v>
      </c>
      <c r="AH401" s="1819"/>
      <c r="AI401" s="1819"/>
      <c r="AJ401" s="1819"/>
    </row>
    <row r="402" spans="1:36" ht="12.95" customHeight="1">
      <c r="D402" s="3" t="s">
        <v>1656</v>
      </c>
      <c r="S402" s="1768" t="s">
        <v>544</v>
      </c>
      <c r="T402" s="1768"/>
      <c r="U402" s="1768"/>
      <c r="V402" t="s">
        <v>1661</v>
      </c>
      <c r="AE402" s="1827">
        <v>364915.90799999994</v>
      </c>
      <c r="AF402" s="1827"/>
      <c r="AG402" s="1827"/>
      <c r="AH402" s="1827"/>
      <c r="AI402" s="1827"/>
      <c r="AJ402" s="1827"/>
    </row>
    <row r="403" spans="1:36" ht="12.95" customHeight="1">
      <c r="D403" s="3" t="s">
        <v>1657</v>
      </c>
      <c r="K403" s="1746"/>
      <c r="L403" s="1746"/>
      <c r="M403" s="1746"/>
      <c r="N403" s="1746"/>
      <c r="O403" s="1746"/>
      <c r="P403" s="1746"/>
      <c r="Q403" s="1746"/>
      <c r="R403" s="1746"/>
      <c r="S403" s="1746"/>
      <c r="T403" s="1746"/>
      <c r="U403" s="1746"/>
      <c r="V403" s="1746"/>
      <c r="W403" s="1746"/>
      <c r="X403" s="1746"/>
      <c r="Y403" s="1746"/>
      <c r="Z403" s="1746"/>
      <c r="AA403" s="1746"/>
      <c r="AB403" s="1746"/>
      <c r="AC403" s="1746"/>
      <c r="AD403" s="1746"/>
      <c r="AE403" s="1746"/>
      <c r="AF403" s="1746"/>
      <c r="AG403" s="1746"/>
      <c r="AH403" s="1746"/>
      <c r="AI403" s="1746"/>
      <c r="AJ403" s="1746"/>
    </row>
    <row r="404" spans="1:36" ht="12.95" customHeight="1">
      <c r="D404" s="3" t="s">
        <v>1660</v>
      </c>
      <c r="K404" s="1746" t="s">
        <v>2748</v>
      </c>
      <c r="L404" s="1746"/>
      <c r="M404" s="1746"/>
      <c r="N404" s="1746"/>
      <c r="O404" s="1746"/>
      <c r="P404" s="1746"/>
      <c r="Q404" s="1746"/>
      <c r="R404" s="1746"/>
      <c r="S404" s="1746"/>
      <c r="T404" s="1746"/>
      <c r="U404" s="1746"/>
      <c r="V404" s="1746"/>
      <c r="W404" s="1746"/>
      <c r="X404" s="1746"/>
      <c r="Y404" s="1746"/>
      <c r="Z404" s="1746"/>
      <c r="AA404" s="1746"/>
      <c r="AB404" s="1746"/>
      <c r="AC404" s="1746"/>
      <c r="AD404" s="1746"/>
      <c r="AE404" s="1746"/>
      <c r="AF404" s="1746"/>
      <c r="AG404" s="1746"/>
      <c r="AH404" s="1746"/>
      <c r="AI404" s="1746"/>
      <c r="AJ404" s="1746"/>
    </row>
    <row r="405" spans="1:36" ht="12.95" customHeight="1">
      <c r="D405" s="3" t="s">
        <v>1663</v>
      </c>
      <c r="E405" s="477"/>
      <c r="F405" s="477"/>
      <c r="G405" s="477"/>
      <c r="H405" s="477"/>
      <c r="I405" s="477"/>
      <c r="J405" s="477"/>
      <c r="K405" s="477"/>
      <c r="L405" s="477"/>
      <c r="M405" s="477"/>
      <c r="N405" s="477"/>
      <c r="O405" s="477"/>
      <c r="P405" s="477"/>
      <c r="Q405" s="477"/>
      <c r="R405" s="477"/>
      <c r="S405" s="1822" t="s">
        <v>2699</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68" t="s">
        <v>1662</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427" t="s">
        <v>2700</v>
      </c>
      <c r="J410" s="1427"/>
      <c r="K410" s="1427"/>
      <c r="L410" s="1427"/>
      <c r="M410" s="1427"/>
      <c r="N410" s="1427"/>
      <c r="O410" s="1427"/>
      <c r="P410" s="1427"/>
      <c r="Q410" s="1427"/>
      <c r="R410" s="1427"/>
      <c r="S410" s="1427"/>
      <c r="T410" s="1427"/>
      <c r="U410" s="1427"/>
      <c r="V410" s="1427"/>
      <c r="W410" s="1427"/>
      <c r="X410" s="1427"/>
      <c r="Y410" s="1427"/>
      <c r="Z410" s="1427"/>
      <c r="AA410" s="1427"/>
      <c r="AB410" s="1427"/>
      <c r="AC410" s="1427"/>
      <c r="AD410" s="1427"/>
      <c r="AE410" s="1427"/>
    </row>
    <row r="411" spans="1:36" ht="12.95" customHeight="1">
      <c r="E411" t="s">
        <v>106</v>
      </c>
      <c r="R411" s="1333" t="s">
        <v>544</v>
      </c>
      <c r="S411" s="1333"/>
      <c r="AC411" s="27" t="s">
        <v>569</v>
      </c>
      <c r="AD411" s="1745">
        <v>8</v>
      </c>
      <c r="AE411" s="1745"/>
    </row>
    <row r="412" spans="1:36" ht="12.95" customHeight="1">
      <c r="E412" t="s">
        <v>107</v>
      </c>
      <c r="R412" s="1333" t="s">
        <v>590</v>
      </c>
      <c r="S412" s="1333"/>
      <c r="AC412" s="27" t="s">
        <v>569</v>
      </c>
      <c r="AD412" s="1745"/>
      <c r="AE412" s="1745"/>
    </row>
    <row r="413" spans="1:36" ht="12.95" customHeight="1">
      <c r="E413" t="s">
        <v>108</v>
      </c>
      <c r="S413" s="1333" t="s">
        <v>590</v>
      </c>
      <c r="T413" s="1333"/>
    </row>
    <row r="414" spans="1:36" ht="12.95" customHeight="1">
      <c r="E414" t="s">
        <v>169</v>
      </c>
      <c r="H414" s="1825" t="s">
        <v>333</v>
      </c>
      <c r="I414" s="1825"/>
      <c r="J414" s="1825"/>
      <c r="K414" s="1825"/>
      <c r="L414" s="1825"/>
      <c r="M414" s="1825"/>
      <c r="N414" s="1825"/>
      <c r="O414" s="1825"/>
      <c r="P414" s="1825"/>
      <c r="Q414" s="1825"/>
      <c r="R414" s="1825"/>
      <c r="S414" s="1825"/>
      <c r="T414" s="1825"/>
      <c r="U414" s="1825"/>
      <c r="V414" s="1825"/>
      <c r="W414" s="1825"/>
      <c r="X414" s="1825"/>
      <c r="Y414" s="1825"/>
      <c r="Z414" s="1825"/>
      <c r="AA414" s="1825"/>
      <c r="AB414" s="1825"/>
      <c r="AC414" s="1825"/>
      <c r="AD414" s="1825"/>
      <c r="AE414" s="1825"/>
    </row>
    <row r="415" spans="1:36" ht="12.95" customHeight="1">
      <c r="H415" s="1826"/>
      <c r="I415" s="1826"/>
      <c r="J415" s="1826"/>
      <c r="K415" s="1826"/>
      <c r="L415" s="1826"/>
      <c r="M415" s="1826"/>
      <c r="N415" s="1826"/>
      <c r="O415" s="1826"/>
      <c r="P415" s="1826"/>
      <c r="Q415" s="1826"/>
      <c r="R415" s="1826"/>
      <c r="S415" s="1826"/>
      <c r="T415" s="1826"/>
      <c r="U415" s="1826"/>
      <c r="V415" s="1826"/>
      <c r="W415" s="1826"/>
      <c r="X415" s="1826"/>
      <c r="Y415" s="1826"/>
      <c r="Z415" s="1826"/>
      <c r="AA415" s="1826"/>
      <c r="AB415" s="1826"/>
      <c r="AC415" s="1826"/>
      <c r="AD415" s="1826"/>
      <c r="AE415" s="1826"/>
    </row>
    <row r="416" spans="1:36" ht="12.95" customHeight="1"/>
    <row r="417" spans="1:39" ht="12.95" customHeight="1">
      <c r="A417" s="2" t="s">
        <v>589</v>
      </c>
      <c r="B417" s="2"/>
      <c r="C417" s="2"/>
      <c r="D417" s="2" t="s">
        <v>114</v>
      </c>
      <c r="AF417" s="2" t="s">
        <v>955</v>
      </c>
    </row>
    <row r="418" spans="1:39" ht="12.95" customHeight="1">
      <c r="E418" s="1815"/>
      <c r="F418" s="1815"/>
      <c r="G418" s="1815"/>
      <c r="H418" s="13" t="s">
        <v>115</v>
      </c>
      <c r="I418" s="1815"/>
      <c r="J418" s="1815"/>
      <c r="K418" s="1815"/>
      <c r="L418" t="s">
        <v>116</v>
      </c>
      <c r="N418" s="27" t="s">
        <v>574</v>
      </c>
      <c r="P418" s="1771">
        <v>0.8</v>
      </c>
      <c r="Q418" s="1771"/>
      <c r="R418" s="1771"/>
      <c r="S418" t="s">
        <v>117</v>
      </c>
      <c r="W418" s="1821">
        <f>IF(E418&gt;0,(E418*I418),(P418*43560))</f>
        <v>34848</v>
      </c>
      <c r="X418" s="1821"/>
      <c r="Y418" s="1821"/>
      <c r="Z418" t="s">
        <v>118</v>
      </c>
      <c r="AF418" s="1772">
        <f>IFERROR(IF(P418&gt;0,(AG437/P418),(AG437/(W418/43560))),0)</f>
        <v>160</v>
      </c>
      <c r="AG418" s="1772"/>
      <c r="AH418" s="1772"/>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1734</v>
      </c>
      <c r="F421" s="1013"/>
      <c r="G421" s="1013"/>
      <c r="H421" s="1013"/>
      <c r="I421" s="1770">
        <v>0.79200000000000004</v>
      </c>
      <c r="J421" s="1770"/>
      <c r="K421" s="1770"/>
      <c r="L421" s="1013"/>
      <c r="M421" s="118"/>
      <c r="N421" s="1013"/>
      <c r="O421" s="1013"/>
      <c r="P421" s="1460">
        <f>(DU755+DU778+DU800)/I421</f>
        <v>339.64646464646461</v>
      </c>
      <c r="Q421" s="1460"/>
      <c r="R421" s="1460"/>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3">
        <v>1</v>
      </c>
      <c r="Q424" s="1333"/>
      <c r="S424" t="s">
        <v>188</v>
      </c>
      <c r="AE424" s="1333">
        <v>1</v>
      </c>
      <c r="AF424" s="1333"/>
    </row>
    <row r="425" spans="1:39" ht="12.95" customHeight="1">
      <c r="E425" t="s">
        <v>189</v>
      </c>
      <c r="P425" s="1333">
        <v>0</v>
      </c>
      <c r="Q425" s="1333"/>
      <c r="S425" t="s">
        <v>131</v>
      </c>
      <c r="AE425" s="1333" t="s">
        <v>590</v>
      </c>
      <c r="AF425" s="1333"/>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754"/>
      <c r="G428" s="1754"/>
      <c r="H428" s="1754"/>
      <c r="I428" s="1754"/>
      <c r="J428" s="1754"/>
      <c r="K428" s="1754"/>
      <c r="L428" s="1754"/>
      <c r="M428" s="1754"/>
      <c r="N428" s="1754"/>
      <c r="O428" s="1754"/>
      <c r="P428" s="1754"/>
      <c r="Q428" s="1754"/>
      <c r="R428" s="1754"/>
      <c r="S428" s="1754"/>
      <c r="T428" s="1754"/>
      <c r="U428" s="1754"/>
      <c r="V428" s="1754"/>
      <c r="W428" s="1754"/>
      <c r="X428" s="1754"/>
      <c r="Y428" s="1754"/>
      <c r="Z428" s="1754"/>
      <c r="AA428" s="1754"/>
      <c r="AB428" s="1754"/>
      <c r="AC428" s="1754"/>
      <c r="AD428" s="1754"/>
      <c r="AE428" s="1754"/>
      <c r="AF428" s="1754"/>
      <c r="AG428" s="1754"/>
      <c r="AH428" s="1754"/>
    </row>
    <row r="429" spans="1:39" ht="12.95" customHeight="1">
      <c r="E429" t="s">
        <v>607</v>
      </c>
      <c r="P429" s="1"/>
      <c r="Q429" s="1333" t="s">
        <v>544</v>
      </c>
      <c r="R429" s="1333"/>
    </row>
    <row r="430" spans="1:39" ht="12.95" customHeight="1">
      <c r="F430" t="s">
        <v>608</v>
      </c>
      <c r="P430" s="1"/>
      <c r="Q430" s="1"/>
      <c r="AF430" s="1333" t="s">
        <v>590</v>
      </c>
      <c r="AG430" s="1828"/>
    </row>
    <row r="431" spans="1:39" ht="12.95" customHeight="1"/>
    <row r="432" spans="1:39" ht="12.95" customHeight="1">
      <c r="A432" s="2"/>
      <c r="B432" s="2"/>
      <c r="C432" s="2"/>
      <c r="E432" s="4" t="s">
        <v>307</v>
      </c>
      <c r="Z432" s="1333" t="s">
        <v>668</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3" t="s">
        <v>590</v>
      </c>
      <c r="AA434" s="1333"/>
    </row>
    <row r="435" spans="1:55" ht="12.95" customHeight="1"/>
    <row r="436" spans="1:55" ht="12.95" customHeight="1">
      <c r="A436" s="2" t="s">
        <v>466</v>
      </c>
      <c r="B436" s="2"/>
      <c r="C436" s="2"/>
      <c r="D436" s="2" t="s">
        <v>763</v>
      </c>
      <c r="AF436" s="48"/>
    </row>
    <row r="437" spans="1:55" ht="12.95" customHeight="1">
      <c r="D437" s="1645" t="s">
        <v>43</v>
      </c>
      <c r="E437" s="1646"/>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773"/>
      <c r="AG437" s="1747">
        <v>128</v>
      </c>
      <c r="AH437" s="1747"/>
      <c r="AI437" s="1747"/>
      <c r="AJ437" s="1747"/>
    </row>
    <row r="438" spans="1:55" ht="12.95" customHeight="1">
      <c r="D438" s="1739" t="s">
        <v>1220</v>
      </c>
      <c r="E438" s="1740"/>
      <c r="F438" s="1740"/>
      <c r="G438" s="1740"/>
      <c r="H438" s="1740"/>
      <c r="I438" s="1740"/>
      <c r="J438" s="1740"/>
      <c r="K438" s="1740"/>
      <c r="L438" s="1740"/>
      <c r="M438" s="1740"/>
      <c r="N438" s="1740"/>
      <c r="O438" s="1740"/>
      <c r="P438" s="1740"/>
      <c r="Q438" s="1740"/>
      <c r="R438" s="1740"/>
      <c r="S438" s="1740"/>
      <c r="T438" s="1740"/>
      <c r="U438" s="1740"/>
      <c r="V438" s="1740"/>
      <c r="W438" s="1740"/>
      <c r="X438" s="1740"/>
      <c r="Y438" s="1740"/>
      <c r="Z438" s="1740"/>
      <c r="AA438" s="1740"/>
      <c r="AB438" s="1740"/>
      <c r="AC438" s="1740"/>
      <c r="AD438" s="1740"/>
      <c r="AE438" s="1740"/>
      <c r="AF438" s="1741"/>
      <c r="AG438" s="1842">
        <v>0</v>
      </c>
      <c r="AH438" s="1625"/>
      <c r="AI438" s="1625"/>
      <c r="AJ438" s="1625"/>
    </row>
    <row r="439" spans="1:55" ht="12.95" customHeight="1">
      <c r="D439" s="1739" t="s">
        <v>1029</v>
      </c>
      <c r="E439" s="1740"/>
      <c r="F439" s="1740"/>
      <c r="G439" s="1740"/>
      <c r="H439" s="1740"/>
      <c r="I439" s="1740"/>
      <c r="J439" s="1740"/>
      <c r="K439" s="1740"/>
      <c r="L439" s="1740"/>
      <c r="M439" s="1740"/>
      <c r="N439" s="1740"/>
      <c r="O439" s="1740"/>
      <c r="P439" s="1740"/>
      <c r="Q439" s="1740"/>
      <c r="R439" s="1740"/>
      <c r="S439" s="1740"/>
      <c r="T439" s="1740"/>
      <c r="U439" s="1740"/>
      <c r="V439" s="1740"/>
      <c r="W439" s="1740"/>
      <c r="X439" s="1740"/>
      <c r="Y439" s="1740"/>
      <c r="Z439" s="1740"/>
      <c r="AA439" s="1740"/>
      <c r="AB439" s="1740"/>
      <c r="AC439" s="1740"/>
      <c r="AD439" s="1740"/>
      <c r="AE439" s="1740"/>
      <c r="AF439" s="1741"/>
      <c r="AG439" s="1747">
        <v>127</v>
      </c>
      <c r="AH439" s="1747"/>
      <c r="AI439" s="1747"/>
      <c r="AJ439" s="1747"/>
    </row>
    <row r="440" spans="1:55" ht="12.95" customHeight="1">
      <c r="D440" s="1739" t="s">
        <v>1030</v>
      </c>
      <c r="E440" s="1740"/>
      <c r="F440" s="1740"/>
      <c r="G440" s="1740"/>
      <c r="H440" s="1740"/>
      <c r="I440" s="1740"/>
      <c r="J440" s="1740"/>
      <c r="K440" s="1740"/>
      <c r="L440" s="1740"/>
      <c r="M440" s="1740"/>
      <c r="N440" s="1740"/>
      <c r="O440" s="1740"/>
      <c r="P440" s="1740"/>
      <c r="Q440" s="1740"/>
      <c r="R440" s="1740"/>
      <c r="S440" s="1740"/>
      <c r="T440" s="1740"/>
      <c r="U440" s="1740"/>
      <c r="V440" s="1740"/>
      <c r="W440" s="1740"/>
      <c r="X440" s="1740"/>
      <c r="Y440" s="1740"/>
      <c r="Z440" s="1740"/>
      <c r="AA440" s="1740"/>
      <c r="AB440" s="1740"/>
      <c r="AC440" s="1740"/>
      <c r="AD440" s="1740"/>
      <c r="AE440" s="1740"/>
      <c r="AF440" s="1741"/>
      <c r="AG440" s="1747">
        <v>127</v>
      </c>
      <c r="AH440" s="1747"/>
      <c r="AI440" s="1747"/>
      <c r="AJ440" s="1747"/>
    </row>
    <row r="441" spans="1:55" ht="12.95" customHeight="1">
      <c r="D441" s="1739" t="s">
        <v>1032</v>
      </c>
      <c r="E441" s="1740"/>
      <c r="F441" s="1740"/>
      <c r="G441" s="1740"/>
      <c r="H441" s="1740"/>
      <c r="I441" s="1740"/>
      <c r="J441" s="1740"/>
      <c r="K441" s="1740"/>
      <c r="L441" s="1740"/>
      <c r="M441" s="1740"/>
      <c r="N441" s="1740"/>
      <c r="O441" s="1740"/>
      <c r="P441" s="1740"/>
      <c r="Q441" s="1740"/>
      <c r="R441" s="1740"/>
      <c r="S441" s="1740"/>
      <c r="T441" s="1740"/>
      <c r="U441" s="1740"/>
      <c r="V441" s="1740"/>
      <c r="W441" s="1740"/>
      <c r="X441" s="1740"/>
      <c r="Y441" s="1740"/>
      <c r="Z441" s="1740"/>
      <c r="AA441" s="1740"/>
      <c r="AB441" s="1740"/>
      <c r="AC441" s="1740"/>
      <c r="AD441" s="1740"/>
      <c r="AE441" s="1740"/>
      <c r="AF441" s="1741"/>
      <c r="AG441" s="1766">
        <f>IF(ISERROR(AG440/AG439),0,AG440/AG439)</f>
        <v>1</v>
      </c>
      <c r="AH441" s="1766"/>
      <c r="AI441" s="1766"/>
      <c r="AJ441" s="1766"/>
    </row>
    <row r="442" spans="1:55" ht="12.95" customHeight="1">
      <c r="D442" s="1739" t="s">
        <v>1031</v>
      </c>
      <c r="E442" s="1740"/>
      <c r="F442" s="1740"/>
      <c r="G442" s="1740"/>
      <c r="H442" s="1740"/>
      <c r="I442" s="1740"/>
      <c r="J442" s="1740"/>
      <c r="K442" s="1740"/>
      <c r="L442" s="1740"/>
      <c r="M442" s="1740"/>
      <c r="N442" s="1740"/>
      <c r="O442" s="1740"/>
      <c r="P442" s="1740"/>
      <c r="Q442" s="1740"/>
      <c r="R442" s="1740"/>
      <c r="S442" s="1740"/>
      <c r="T442" s="1740"/>
      <c r="U442" s="1740"/>
      <c r="V442" s="1740"/>
      <c r="W442" s="1740"/>
      <c r="X442" s="1740"/>
      <c r="Y442" s="1740"/>
      <c r="Z442" s="1740"/>
      <c r="AA442" s="1740"/>
      <c r="AB442" s="1740"/>
      <c r="AC442" s="1740"/>
      <c r="AD442" s="1740"/>
      <c r="AE442" s="1740"/>
      <c r="AF442" s="1741"/>
      <c r="AG442" s="1723">
        <v>106984</v>
      </c>
      <c r="AH442" s="1723"/>
      <c r="AI442" s="1723"/>
      <c r="AJ442" s="1723"/>
    </row>
    <row r="443" spans="1:55" ht="12.95" customHeight="1">
      <c r="D443" s="1739" t="s">
        <v>1033</v>
      </c>
      <c r="E443" s="1740"/>
      <c r="F443" s="1740"/>
      <c r="G443" s="1740"/>
      <c r="H443" s="1740"/>
      <c r="I443" s="1740"/>
      <c r="J443" s="1740"/>
      <c r="K443" s="1740"/>
      <c r="L443" s="1740"/>
      <c r="M443" s="1740"/>
      <c r="N443" s="1740"/>
      <c r="O443" s="1740"/>
      <c r="P443" s="1740"/>
      <c r="Q443" s="1740"/>
      <c r="R443" s="1740"/>
      <c r="S443" s="1740"/>
      <c r="T443" s="1740"/>
      <c r="U443" s="1740"/>
      <c r="V443" s="1740"/>
      <c r="W443" s="1740"/>
      <c r="X443" s="1740"/>
      <c r="Y443" s="1740"/>
      <c r="Z443" s="1740"/>
      <c r="AA443" s="1740"/>
      <c r="AB443" s="1740"/>
      <c r="AC443" s="1740"/>
      <c r="AD443" s="1740"/>
      <c r="AE443" s="1740"/>
      <c r="AF443" s="1741"/>
      <c r="AG443" s="1723">
        <v>106984</v>
      </c>
      <c r="AH443" s="1723"/>
      <c r="AI443" s="1723"/>
      <c r="AJ443" s="1723"/>
    </row>
    <row r="444" spans="1:55" ht="12.95" customHeight="1">
      <c r="D444" s="1739" t="s">
        <v>1034</v>
      </c>
      <c r="E444" s="1740"/>
      <c r="F444" s="1740"/>
      <c r="G444" s="1740"/>
      <c r="H444" s="1740"/>
      <c r="I444" s="1740"/>
      <c r="J444" s="1740"/>
      <c r="K444" s="1740"/>
      <c r="L444" s="1740"/>
      <c r="M444" s="1740"/>
      <c r="N444" s="1740"/>
      <c r="O444" s="1740"/>
      <c r="P444" s="1740"/>
      <c r="Q444" s="1740"/>
      <c r="R444" s="1740"/>
      <c r="S444" s="1740"/>
      <c r="T444" s="1740"/>
      <c r="U444" s="1740"/>
      <c r="V444" s="1740"/>
      <c r="W444" s="1740"/>
      <c r="X444" s="1740"/>
      <c r="Y444" s="1740"/>
      <c r="Z444" s="1740"/>
      <c r="AA444" s="1740"/>
      <c r="AB444" s="1740"/>
      <c r="AC444" s="1740"/>
      <c r="AD444" s="1740"/>
      <c r="AE444" s="1740"/>
      <c r="AF444" s="1741"/>
      <c r="AG444" s="1766">
        <f>IF(ISERROR(AG443/AG442),0,AG443/AG442)</f>
        <v>1</v>
      </c>
      <c r="AH444" s="1766"/>
      <c r="AI444" s="1766"/>
      <c r="AJ444" s="1766"/>
    </row>
    <row r="445" spans="1:55" ht="12.95" customHeight="1">
      <c r="D445" s="1739" t="s">
        <v>1035</v>
      </c>
      <c r="E445" s="1740"/>
      <c r="F445" s="1740"/>
      <c r="G445" s="1740"/>
      <c r="H445" s="1740"/>
      <c r="I445" s="1740"/>
      <c r="J445" s="1740"/>
      <c r="K445" s="1740"/>
      <c r="L445" s="1740"/>
      <c r="M445" s="1740"/>
      <c r="N445" s="1740"/>
      <c r="O445" s="1740"/>
      <c r="P445" s="1740"/>
      <c r="Q445" s="1740"/>
      <c r="R445" s="1740"/>
      <c r="S445" s="1740"/>
      <c r="T445" s="1740"/>
      <c r="U445" s="1740"/>
      <c r="V445" s="1740"/>
      <c r="W445" s="1740"/>
      <c r="X445" s="1740"/>
      <c r="Y445" s="1740"/>
      <c r="Z445" s="1740"/>
      <c r="AA445" s="1740"/>
      <c r="AB445" s="1740"/>
      <c r="AC445" s="1740"/>
      <c r="AD445" s="1740"/>
      <c r="AE445" s="1740"/>
      <c r="AF445" s="1741"/>
      <c r="AG445" s="1766">
        <f>MIN(IF(AG441&gt;AG444,AG444,AG441),1)</f>
        <v>1</v>
      </c>
      <c r="AH445" s="1766"/>
      <c r="AI445" s="1766"/>
      <c r="AJ445" s="1766"/>
    </row>
    <row r="446" spans="1:55" ht="12.95" customHeight="1">
      <c r="D446" s="1739" t="s">
        <v>2086</v>
      </c>
      <c r="E446" s="1646"/>
      <c r="F446" s="1646"/>
      <c r="G446" s="1646"/>
      <c r="H446" s="1646"/>
      <c r="I446" s="1646"/>
      <c r="J446" s="1646"/>
      <c r="K446" s="1646"/>
      <c r="L446" s="1646"/>
      <c r="M446" s="1646"/>
      <c r="N446" s="1646"/>
      <c r="O446" s="1646"/>
      <c r="P446" s="1646"/>
      <c r="Q446" s="1646"/>
      <c r="R446" s="1646"/>
      <c r="S446" s="1646"/>
      <c r="T446" s="1646"/>
      <c r="U446" s="1646"/>
      <c r="V446" s="1646"/>
      <c r="W446" s="1646"/>
      <c r="X446" s="1646"/>
      <c r="Y446" s="1646"/>
      <c r="Z446" s="1646"/>
      <c r="AA446" s="1646"/>
      <c r="AB446" s="1646"/>
      <c r="AC446" s="1646"/>
      <c r="AD446" s="1646"/>
      <c r="AE446" s="1646"/>
      <c r="AF446" s="1773"/>
      <c r="AG446" s="1723">
        <v>2279</v>
      </c>
      <c r="AH446" s="1723"/>
      <c r="AI446" s="1723"/>
      <c r="AJ446" s="1723"/>
      <c r="AZ446" s="34"/>
      <c r="BA446" s="34"/>
      <c r="BB446" s="34"/>
      <c r="BC446" s="34"/>
    </row>
    <row r="447" spans="1:55" ht="12.95" customHeight="1">
      <c r="D447" s="1645" t="s">
        <v>568</v>
      </c>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c r="Y447" s="1646"/>
      <c r="Z447" s="1646"/>
      <c r="AA447" s="1646"/>
      <c r="AB447" s="1646"/>
      <c r="AC447" s="1646"/>
      <c r="AD447" s="1646"/>
      <c r="AE447" s="1646"/>
      <c r="AF447" s="1773"/>
      <c r="AG447" s="1723">
        <v>0</v>
      </c>
      <c r="AH447" s="1723"/>
      <c r="AI447" s="1723"/>
      <c r="AJ447" s="1723"/>
      <c r="AZ447" s="3"/>
      <c r="BA447" s="3"/>
      <c r="BB447" s="3"/>
      <c r="BC447" s="3"/>
    </row>
    <row r="448" spans="1:55" ht="12.95" customHeight="1">
      <c r="D448" s="1739" t="s">
        <v>1203</v>
      </c>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773"/>
      <c r="AG448" s="1723">
        <v>23936</v>
      </c>
      <c r="AH448" s="1723"/>
      <c r="AI448" s="1723"/>
      <c r="AJ448" s="1723"/>
      <c r="AZ448" s="3"/>
      <c r="BA448" s="3"/>
      <c r="BB448" s="3"/>
      <c r="BC448" s="3"/>
    </row>
    <row r="449" spans="1:55" ht="12.95" customHeight="1">
      <c r="D449" s="1739" t="s">
        <v>1036</v>
      </c>
      <c r="E449" s="1646"/>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773"/>
      <c r="AG449" s="1723">
        <v>33848</v>
      </c>
      <c r="AH449" s="1723"/>
      <c r="AI449" s="1723"/>
      <c r="AJ449" s="1723"/>
      <c r="BB449" s="3"/>
      <c r="BC449" s="3"/>
    </row>
    <row r="450" spans="1:55" ht="12.95" customHeight="1">
      <c r="D450" s="1762" t="s">
        <v>1037</v>
      </c>
      <c r="E450" s="1763"/>
      <c r="F450" s="1763"/>
      <c r="G450" s="1763"/>
      <c r="H450" s="1763"/>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4"/>
      <c r="AG450" s="1841">
        <f>AG442+AG446+AG448+AG449</f>
        <v>167047</v>
      </c>
      <c r="AH450" s="1841"/>
      <c r="AI450" s="1841"/>
      <c r="AJ450" s="1841"/>
      <c r="AZ450" s="3"/>
      <c r="BA450" s="3"/>
      <c r="BB450" s="3"/>
      <c r="BC450" s="3"/>
    </row>
    <row r="451" spans="1:55" ht="12.95" customHeight="1">
      <c r="D451" s="1774" t="s">
        <v>1204</v>
      </c>
      <c r="E451" s="1774"/>
      <c r="F451" s="1774"/>
      <c r="G451" s="1774"/>
      <c r="H451" s="1774"/>
      <c r="I451" s="1774"/>
      <c r="J451" s="1774"/>
      <c r="K451" s="1774"/>
      <c r="L451" s="1774"/>
      <c r="M451" s="1774"/>
      <c r="N451" s="1774"/>
      <c r="O451" s="1774"/>
      <c r="P451" s="1774"/>
      <c r="Q451" s="1774"/>
      <c r="R451" s="1774"/>
      <c r="S451" s="1774"/>
      <c r="T451" s="1774"/>
      <c r="U451" s="1774"/>
      <c r="V451" s="1774"/>
      <c r="W451" s="1774"/>
      <c r="X451" s="1774"/>
      <c r="Y451" s="1774"/>
      <c r="Z451" s="1774"/>
      <c r="AA451" s="1774"/>
      <c r="AB451" s="1774"/>
      <c r="AC451" s="1774"/>
      <c r="AD451" s="1774"/>
      <c r="AE451" s="1774"/>
      <c r="AF451" s="1774"/>
      <c r="AG451" s="1774"/>
      <c r="AH451" s="1774"/>
      <c r="AI451" s="1774"/>
      <c r="AJ451" s="1774"/>
      <c r="AZ451" s="3"/>
      <c r="BA451" s="3"/>
      <c r="BB451" s="3"/>
      <c r="BC451" s="3"/>
    </row>
    <row r="452" spans="1:55" ht="12.95" customHeight="1">
      <c r="D452" s="1775"/>
      <c r="E452" s="1775"/>
      <c r="F452" s="1775"/>
      <c r="G452" s="1775"/>
      <c r="H452" s="1775"/>
      <c r="I452" s="1775"/>
      <c r="J452" s="1775"/>
      <c r="K452" s="1775"/>
      <c r="L452" s="1775"/>
      <c r="M452" s="1775"/>
      <c r="N452" s="1775"/>
      <c r="O452" s="1775"/>
      <c r="P452" s="1775"/>
      <c r="Q452" s="1775"/>
      <c r="R452" s="1775"/>
      <c r="S452" s="1775"/>
      <c r="T452" s="1775"/>
      <c r="U452" s="1775"/>
      <c r="V452" s="1775"/>
      <c r="W452" s="1775"/>
      <c r="X452" s="1775"/>
      <c r="Y452" s="1775"/>
      <c r="Z452" s="1775"/>
      <c r="AA452" s="1775"/>
      <c r="AB452" s="1775"/>
      <c r="AC452" s="1775"/>
      <c r="AD452" s="1775"/>
      <c r="AE452" s="1775"/>
      <c r="AF452" s="1775"/>
      <c r="AG452" s="1775"/>
      <c r="AH452" s="1775"/>
      <c r="AI452" s="1775"/>
      <c r="AJ452" s="177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9">
        <f>IF(AG437=0,"",'Sources and Uses Budget'!B105/Application!AG437)</f>
        <v>460509.484375</v>
      </c>
      <c r="AD454" s="1829"/>
      <c r="AE454" s="1829"/>
      <c r="AF454" s="1829"/>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9">
        <f>IF(AG437=0,"",'Sources and Uses Budget'!C105/Application!AG437)</f>
        <v>460509.484375</v>
      </c>
      <c r="AD455" s="1829"/>
      <c r="AE455" s="1829"/>
      <c r="AF455" s="1829"/>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9">
        <f>IF(AG437=0,"",('Sources and Uses Budget'!$S$107+'Sources and Uses Budget'!$T$107)/Application!AG437)</f>
        <v>427707.7421875</v>
      </c>
      <c r="AD456" s="1829"/>
      <c r="AE456" s="1829"/>
      <c r="AF456" s="1829"/>
      <c r="AG456" s="177"/>
      <c r="AH456" s="177"/>
      <c r="AI456" s="177"/>
      <c r="AJ456" s="183"/>
      <c r="AZ456" s="3"/>
      <c r="BA456" s="3"/>
      <c r="BB456" s="3"/>
      <c r="BC456" s="3"/>
    </row>
    <row r="457" spans="1:55" ht="12.95" customHeight="1">
      <c r="D457" s="177"/>
      <c r="E457" s="177"/>
      <c r="F457" s="1736" t="str">
        <f>IFERROR(IF(AC454&gt;650000,"Please provide a justification of cost per unit in Tab 12 for all projects with per unit costs of greater than $650,000.",""),"")</f>
        <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5"/>
      <c r="AD457" s="177"/>
      <c r="AE457" s="177"/>
      <c r="AF457" s="177"/>
      <c r="AG457" s="177"/>
      <c r="AH457" s="177"/>
      <c r="AI457" s="177"/>
      <c r="AJ457" s="183"/>
      <c r="AZ457" s="3"/>
      <c r="BA457" s="3"/>
      <c r="BB457" s="3"/>
      <c r="BC457" s="3"/>
    </row>
    <row r="458" spans="1:55" ht="12.95"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14" t="s">
        <v>2098</v>
      </c>
      <c r="E465" s="1760"/>
      <c r="F465" s="1760"/>
      <c r="G465" s="1760"/>
      <c r="H465" s="1760"/>
      <c r="I465" s="1760"/>
      <c r="J465" s="1760"/>
      <c r="K465" s="1760"/>
      <c r="L465" s="1760"/>
      <c r="M465" s="1760"/>
      <c r="N465" s="1760"/>
      <c r="O465" s="1760"/>
      <c r="P465" s="1760"/>
      <c r="Q465" s="1760"/>
      <c r="R465" s="1760"/>
      <c r="S465" s="1760"/>
      <c r="T465" s="1760"/>
      <c r="U465" s="1760"/>
      <c r="V465" s="1761"/>
      <c r="W465" s="1756">
        <v>0</v>
      </c>
      <c r="X465" s="1757"/>
      <c r="Y465" s="175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9" t="s">
        <v>692</v>
      </c>
      <c r="E466" s="1760"/>
      <c r="F466" s="1760"/>
      <c r="G466" s="1760"/>
      <c r="H466" s="1760"/>
      <c r="I466" s="1760"/>
      <c r="J466" s="1760"/>
      <c r="K466" s="1760"/>
      <c r="L466" s="1760"/>
      <c r="M466" s="1760"/>
      <c r="N466" s="1760"/>
      <c r="O466" s="1760"/>
      <c r="P466" s="1760"/>
      <c r="Q466" s="1760"/>
      <c r="R466" s="1760"/>
      <c r="S466" s="1760"/>
      <c r="T466" s="1760"/>
      <c r="U466" s="1760"/>
      <c r="V466" s="1761"/>
      <c r="W466" s="1756">
        <v>0</v>
      </c>
      <c r="X466" s="1757"/>
      <c r="Y466" s="175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9" t="s">
        <v>693</v>
      </c>
      <c r="E467" s="1760"/>
      <c r="F467" s="1760"/>
      <c r="G467" s="1760"/>
      <c r="H467" s="1760"/>
      <c r="I467" s="1760"/>
      <c r="J467" s="1760"/>
      <c r="K467" s="1760"/>
      <c r="L467" s="1760"/>
      <c r="M467" s="1760"/>
      <c r="N467" s="1760"/>
      <c r="O467" s="1760"/>
      <c r="P467" s="1760"/>
      <c r="Q467" s="1760"/>
      <c r="R467" s="1760"/>
      <c r="S467" s="1760"/>
      <c r="T467" s="1760"/>
      <c r="U467" s="1760"/>
      <c r="V467" s="1761"/>
      <c r="W467" s="1756">
        <v>0</v>
      </c>
      <c r="X467" s="1757"/>
      <c r="Y467" s="175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9" t="s">
        <v>694</v>
      </c>
      <c r="E468" s="1760"/>
      <c r="F468" s="1760"/>
      <c r="G468" s="1760"/>
      <c r="H468" s="1760"/>
      <c r="I468" s="1760"/>
      <c r="J468" s="1760"/>
      <c r="K468" s="1760"/>
      <c r="L468" s="1760"/>
      <c r="M468" s="1760"/>
      <c r="N468" s="1760"/>
      <c r="O468" s="1760"/>
      <c r="P468" s="1760"/>
      <c r="Q468" s="1760"/>
      <c r="R468" s="1760"/>
      <c r="S468" s="1760"/>
      <c r="T468" s="1760"/>
      <c r="U468" s="1760"/>
      <c r="V468" s="1761"/>
      <c r="W468" s="1756">
        <v>0</v>
      </c>
      <c r="X468" s="1757"/>
      <c r="Y468" s="175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9" t="s">
        <v>880</v>
      </c>
      <c r="E469" s="1760"/>
      <c r="F469" s="1760"/>
      <c r="G469" s="1760"/>
      <c r="H469" s="1760"/>
      <c r="I469" s="1760"/>
      <c r="J469" s="1760"/>
      <c r="K469" s="1760"/>
      <c r="L469" s="1760"/>
      <c r="M469" s="1760"/>
      <c r="N469" s="1760"/>
      <c r="O469" s="1760"/>
      <c r="P469" s="1760"/>
      <c r="Q469" s="1760"/>
      <c r="R469" s="1760"/>
      <c r="S469" s="1760"/>
      <c r="T469" s="1760"/>
      <c r="U469" s="1760"/>
      <c r="V469" s="1761"/>
      <c r="W469" s="1756">
        <v>0</v>
      </c>
      <c r="X469" s="1757"/>
      <c r="Y469" s="175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9" t="s">
        <v>695</v>
      </c>
      <c r="E470" s="1760"/>
      <c r="F470" s="1760"/>
      <c r="G470" s="1760"/>
      <c r="H470" s="1760"/>
      <c r="I470" s="1760"/>
      <c r="J470" s="1760"/>
      <c r="K470" s="1760"/>
      <c r="L470" s="1760"/>
      <c r="M470" s="1760"/>
      <c r="N470" s="1760"/>
      <c r="O470" s="1760"/>
      <c r="P470" s="1760"/>
      <c r="Q470" s="1760"/>
      <c r="R470" s="1760"/>
      <c r="S470" s="1760"/>
      <c r="T470" s="1760"/>
      <c r="U470" s="1760"/>
      <c r="V470" s="1761"/>
      <c r="W470" s="1756">
        <v>0</v>
      </c>
      <c r="X470" s="1757"/>
      <c r="Y470" s="175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9" t="s">
        <v>1010</v>
      </c>
      <c r="E471" s="1760"/>
      <c r="F471" s="1760"/>
      <c r="G471" s="1760"/>
      <c r="H471" s="1760"/>
      <c r="I471" s="1760"/>
      <c r="J471" s="1760"/>
      <c r="K471" s="1760"/>
      <c r="L471" s="1760"/>
      <c r="M471" s="1760"/>
      <c r="N471" s="1760"/>
      <c r="O471" s="1760"/>
      <c r="P471" s="1760"/>
      <c r="Q471" s="1760"/>
      <c r="R471" s="1760"/>
      <c r="S471" s="1760"/>
      <c r="T471" s="1760"/>
      <c r="U471" s="1760"/>
      <c r="V471" s="1761"/>
      <c r="W471" s="1756">
        <v>0</v>
      </c>
      <c r="X471" s="1757"/>
      <c r="Y471" s="175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14" t="s">
        <v>2189</v>
      </c>
      <c r="E472" s="1849"/>
      <c r="F472" s="1849"/>
      <c r="G472" s="1849"/>
      <c r="H472" s="1849"/>
      <c r="I472" s="1849"/>
      <c r="J472" s="1849"/>
      <c r="K472" s="1849"/>
      <c r="L472" s="1849"/>
      <c r="M472" s="1849"/>
      <c r="N472" s="1849"/>
      <c r="O472" s="1849"/>
      <c r="P472" s="1849"/>
      <c r="Q472" s="1849"/>
      <c r="R472" s="1849"/>
      <c r="S472" s="1849"/>
      <c r="T472" s="1849"/>
      <c r="U472" s="1849"/>
      <c r="V472" s="1850"/>
      <c r="W472" s="1756">
        <v>0</v>
      </c>
      <c r="X472" s="1757"/>
      <c r="Y472" s="175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14" t="s">
        <v>1652</v>
      </c>
      <c r="E473" s="1760"/>
      <c r="F473" s="1760"/>
      <c r="G473" s="1760"/>
      <c r="H473" s="1760"/>
      <c r="I473" s="1760"/>
      <c r="J473" s="1760"/>
      <c r="K473" s="1760"/>
      <c r="L473" s="1760"/>
      <c r="M473" s="1760"/>
      <c r="N473" s="1760"/>
      <c r="O473" s="1760"/>
      <c r="P473" s="1760"/>
      <c r="Q473" s="1760"/>
      <c r="R473" s="1760"/>
      <c r="S473" s="1760"/>
      <c r="T473" s="1760"/>
      <c r="U473" s="1760"/>
      <c r="V473" s="1761"/>
      <c r="W473" s="1756">
        <v>34</v>
      </c>
      <c r="X473" s="1757"/>
      <c r="Y473" s="175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25"/>
      <c r="H474" s="1726"/>
      <c r="I474" s="1726"/>
      <c r="J474" s="1726"/>
      <c r="K474" s="1726"/>
      <c r="L474" s="1726"/>
      <c r="M474" s="1726"/>
      <c r="N474" s="1726"/>
      <c r="O474" s="1726"/>
      <c r="P474" s="1726"/>
      <c r="Q474" s="1726"/>
      <c r="R474" s="1726"/>
      <c r="S474" s="1726"/>
      <c r="T474" s="1726"/>
      <c r="U474" s="1726"/>
      <c r="V474" s="1727"/>
      <c r="W474" s="1756">
        <v>0</v>
      </c>
      <c r="X474" s="1757"/>
      <c r="Y474" s="175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f>AG599</f>
        <v>0</v>
      </c>
      <c r="BB479" s="3"/>
      <c r="BC479" s="3"/>
    </row>
    <row r="480" spans="1:55" ht="12.95" customHeight="1">
      <c r="A480" s="1436" t="s">
        <v>809</v>
      </c>
      <c r="B480" s="1436"/>
      <c r="C480" s="1436"/>
      <c r="D480" s="1436"/>
      <c r="E480" s="1436"/>
      <c r="F480" s="1436"/>
      <c r="G480" s="1436"/>
      <c r="H480" s="1436"/>
      <c r="I480" s="1436"/>
      <c r="J480" s="1436"/>
      <c r="K480" s="1436"/>
      <c r="L480" s="1436"/>
      <c r="M480" s="1436"/>
      <c r="N480" s="1436"/>
      <c r="O480" s="1436"/>
      <c r="P480" s="1436"/>
      <c r="Q480" s="1436"/>
      <c r="R480" s="1436"/>
      <c r="S480" s="1436"/>
      <c r="T480" s="1436"/>
      <c r="U480" s="1436"/>
      <c r="V480" s="1436"/>
      <c r="W480" s="1436"/>
      <c r="X480" s="1436"/>
      <c r="Y480" s="1436"/>
      <c r="Z480" s="1436"/>
      <c r="AA480" s="1436"/>
      <c r="AB480" s="1436"/>
      <c r="AC480" s="1436"/>
      <c r="AD480" s="1436"/>
      <c r="AE480" s="1436"/>
      <c r="AF480" s="1436"/>
      <c r="AG480" s="1436"/>
      <c r="AH480" s="1436"/>
      <c r="AI480" s="1436"/>
      <c r="AJ480" s="1436"/>
      <c r="AK480" s="1436"/>
      <c r="AL480" s="1436"/>
      <c r="AM480" s="1436"/>
      <c r="AN480" s="1436"/>
      <c r="AO480" s="1436"/>
      <c r="AP480" s="1436"/>
      <c r="AQ480" s="1436"/>
      <c r="AR480" s="1436"/>
      <c r="AS480" s="1436"/>
      <c r="AT480" s="1436"/>
      <c r="AU480" s="95"/>
      <c r="AV480" s="95"/>
      <c r="AW480" s="95"/>
      <c r="AX480" s="95"/>
      <c r="AY480" s="95"/>
      <c r="AZ480" s="3"/>
      <c r="BB480" s="3"/>
      <c r="BC480" s="3"/>
    </row>
    <row r="481" spans="1:55" ht="12.95" customHeight="1">
      <c r="A481" s="1436"/>
      <c r="B481" s="1436"/>
      <c r="C481" s="1436"/>
      <c r="D481" s="1436"/>
      <c r="E481" s="1436"/>
      <c r="F481" s="1436"/>
      <c r="G481" s="1436"/>
      <c r="H481" s="1436"/>
      <c r="I481" s="1436"/>
      <c r="J481" s="1436"/>
      <c r="K481" s="1436"/>
      <c r="L481" s="1436"/>
      <c r="M481" s="1436"/>
      <c r="N481" s="1436"/>
      <c r="O481" s="1436"/>
      <c r="P481" s="1436"/>
      <c r="Q481" s="1436"/>
      <c r="R481" s="1436"/>
      <c r="S481" s="1436"/>
      <c r="T481" s="1436"/>
      <c r="U481" s="1436"/>
      <c r="V481" s="1436"/>
      <c r="W481" s="1436"/>
      <c r="X481" s="1436"/>
      <c r="Y481" s="1436"/>
      <c r="Z481" s="1436"/>
      <c r="AA481" s="1436"/>
      <c r="AB481" s="1436"/>
      <c r="AC481" s="1436"/>
      <c r="AD481" s="1436"/>
      <c r="AE481" s="1436"/>
      <c r="AF481" s="1436"/>
      <c r="AG481" s="1436"/>
      <c r="AH481" s="1436"/>
      <c r="AI481" s="1436"/>
      <c r="AJ481" s="1436"/>
      <c r="AK481" s="1436"/>
      <c r="AL481" s="1436"/>
      <c r="AM481" s="1436"/>
      <c r="AN481" s="1436"/>
      <c r="AO481" s="1436"/>
      <c r="AP481" s="1436"/>
      <c r="AQ481" s="1436"/>
      <c r="AR481" s="1436"/>
      <c r="AS481" s="1436"/>
      <c r="AT481" s="1436"/>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48"/>
      <c r="S485" s="1748"/>
      <c r="T485" s="1748"/>
      <c r="U485" s="1748"/>
      <c r="V485" s="1748"/>
      <c r="W485" s="1748"/>
      <c r="X485" s="1748"/>
      <c r="Y485" s="1748"/>
      <c r="Z485" s="1748"/>
      <c r="AA485" s="1748"/>
      <c r="AB485" s="1748"/>
      <c r="AC485" s="1748"/>
      <c r="AD485" s="1748"/>
      <c r="AE485" s="1748"/>
      <c r="AF485" s="1748"/>
      <c r="AG485" s="1748"/>
      <c r="AH485" s="1748"/>
      <c r="AI485" s="1748"/>
      <c r="AJ485" s="1748"/>
      <c r="AK485" s="1749"/>
      <c r="AZ485" s="3"/>
      <c r="BB485" s="3"/>
      <c r="BC485" s="3"/>
    </row>
    <row r="486" spans="1:55" ht="12.95" customHeight="1">
      <c r="B486" s="45" t="s">
        <v>393</v>
      </c>
      <c r="C486" s="5"/>
      <c r="D486" s="5"/>
      <c r="E486" s="5"/>
      <c r="F486" s="5"/>
      <c r="G486" s="5"/>
      <c r="H486" s="5"/>
      <c r="I486" s="5"/>
      <c r="J486" s="5"/>
      <c r="K486" s="5"/>
      <c r="L486" s="5"/>
      <c r="M486" s="5"/>
      <c r="N486" s="5"/>
      <c r="O486" s="5"/>
      <c r="P486" s="5"/>
      <c r="Q486" s="1562" t="s">
        <v>2701</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563"/>
      <c r="AZ486" s="3"/>
      <c r="BB486" s="3"/>
      <c r="BC486" s="3"/>
    </row>
    <row r="487" spans="1:55" ht="12.95" customHeight="1">
      <c r="B487" s="45" t="s">
        <v>394</v>
      </c>
      <c r="C487" s="5"/>
      <c r="D487" s="5"/>
      <c r="E487" s="5"/>
      <c r="F487" s="5"/>
      <c r="G487" s="5"/>
      <c r="H487" s="5"/>
      <c r="I487" s="5"/>
      <c r="J487" s="5"/>
      <c r="K487" s="5"/>
      <c r="L487" s="5"/>
      <c r="M487" s="5"/>
      <c r="N487" s="5"/>
      <c r="O487" s="5"/>
      <c r="P487" s="5"/>
      <c r="Q487" s="1562" t="s">
        <v>2702</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563"/>
      <c r="AZ487" s="3"/>
      <c r="BB487" s="3"/>
      <c r="BC487" s="3"/>
    </row>
    <row r="488" spans="1:55" ht="12.95" customHeight="1">
      <c r="B488" s="45" t="s">
        <v>395</v>
      </c>
      <c r="C488" s="5"/>
      <c r="D488" s="5"/>
      <c r="E488" s="5"/>
      <c r="F488" s="5"/>
      <c r="G488" s="5"/>
      <c r="H488" s="5"/>
      <c r="I488" s="5"/>
      <c r="J488" s="5"/>
      <c r="K488" s="5"/>
      <c r="L488" s="5"/>
      <c r="M488" s="5"/>
      <c r="N488" s="5"/>
      <c r="O488" s="5"/>
      <c r="P488" s="5"/>
      <c r="Q488" s="1527" t="s">
        <v>2703</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563"/>
      <c r="AZ488" s="3"/>
      <c r="BA488" s="3"/>
      <c r="BB488" s="3"/>
      <c r="BC488" s="3"/>
    </row>
    <row r="489" spans="1:55" ht="12.95" customHeight="1">
      <c r="B489" s="1831" t="s">
        <v>396</v>
      </c>
      <c r="C489" s="1832"/>
      <c r="D489" s="1832"/>
      <c r="E489" s="1832"/>
      <c r="F489" s="1832"/>
      <c r="G489" s="1832"/>
      <c r="H489" s="1832"/>
      <c r="I489" s="1832"/>
      <c r="J489" s="1832"/>
      <c r="K489" s="1832"/>
      <c r="L489" s="1832"/>
      <c r="M489" s="1832"/>
      <c r="N489" s="1832"/>
      <c r="O489" s="1832"/>
      <c r="P489" s="1833"/>
      <c r="Q489" s="1837" t="s">
        <v>544</v>
      </c>
      <c r="R489" s="1838"/>
      <c r="S489" s="1750" t="s">
        <v>2704</v>
      </c>
      <c r="T489" s="1751"/>
      <c r="U489" s="1751"/>
      <c r="V489" s="1751"/>
      <c r="W489" s="1751"/>
      <c r="X489" s="1751"/>
      <c r="Y489" s="1751"/>
      <c r="Z489" s="1751"/>
      <c r="AA489" s="1751"/>
      <c r="AB489" s="1751"/>
      <c r="AC489" s="1751"/>
      <c r="AD489" s="1751"/>
      <c r="AE489" s="1751"/>
      <c r="AF489" s="1751"/>
      <c r="AG489" s="1751"/>
      <c r="AH489" s="1751"/>
      <c r="AI489" s="1751"/>
      <c r="AJ489" s="1751"/>
      <c r="AK489" s="1752"/>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53"/>
      <c r="T490" s="1754"/>
      <c r="U490" s="1754"/>
      <c r="V490" s="1754"/>
      <c r="W490" s="1754"/>
      <c r="X490" s="1754"/>
      <c r="Y490" s="1754"/>
      <c r="Z490" s="1754"/>
      <c r="AA490" s="1754"/>
      <c r="AB490" s="1754"/>
      <c r="AC490" s="1754"/>
      <c r="AD490" s="1754"/>
      <c r="AE490" s="1754"/>
      <c r="AF490" s="1754"/>
      <c r="AG490" s="1754"/>
      <c r="AH490" s="1754"/>
      <c r="AI490" s="1754"/>
      <c r="AJ490" s="1754"/>
      <c r="AK490" s="1755"/>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846" t="s">
        <v>668</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62" t="s">
        <v>2705</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563"/>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62" t="s">
        <v>2706</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563"/>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62">
        <v>69</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563"/>
      <c r="AZ494" s="3"/>
      <c r="BA494" s="3"/>
      <c r="BB494" s="3"/>
      <c r="BC494" s="3"/>
    </row>
    <row r="495" spans="1:55" ht="12.95" customHeight="1">
      <c r="B495" s="121" t="s">
        <v>1667</v>
      </c>
      <c r="C495" s="5"/>
      <c r="D495" s="5"/>
      <c r="E495" s="5"/>
      <c r="F495" s="5"/>
      <c r="G495" s="5"/>
      <c r="H495" s="5"/>
      <c r="I495" s="5"/>
      <c r="J495" s="5"/>
      <c r="K495" s="5"/>
      <c r="L495" s="5"/>
      <c r="M495" s="1457">
        <v>69</v>
      </c>
      <c r="N495" s="1458"/>
      <c r="O495" s="1458"/>
      <c r="P495" s="1459"/>
      <c r="Q495" s="121" t="s">
        <v>1668</v>
      </c>
      <c r="R495" s="5"/>
      <c r="S495" s="5"/>
      <c r="T495" s="5"/>
      <c r="U495" s="5"/>
      <c r="V495" s="5"/>
      <c r="W495" s="5"/>
      <c r="X495" s="5"/>
      <c r="Y495" s="5"/>
      <c r="Z495" s="5"/>
      <c r="AA495" s="5"/>
      <c r="AB495" s="5"/>
      <c r="AC495" s="5"/>
      <c r="AD495" s="5"/>
      <c r="AE495" s="5"/>
      <c r="AF495" s="5"/>
      <c r="AG495" s="5"/>
      <c r="AH495" s="1457"/>
      <c r="AI495" s="1458"/>
      <c r="AJ495" s="1458"/>
      <c r="AK495" s="145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48"/>
      <c r="AE499" s="1748"/>
      <c r="AF499" s="1748"/>
      <c r="AG499" s="1748"/>
      <c r="AH499" s="1748"/>
      <c r="AI499" s="1748"/>
      <c r="AJ499" s="1748"/>
      <c r="AK499" s="174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48"/>
      <c r="AE500" s="1748"/>
      <c r="AF500" s="1748"/>
      <c r="AG500" s="50" t="s">
        <v>402</v>
      </c>
      <c r="AH500" s="1748" t="s">
        <v>403</v>
      </c>
      <c r="AI500" s="1748"/>
      <c r="AJ500" s="1748"/>
      <c r="AK500" s="1749"/>
      <c r="AZ500" s="3"/>
      <c r="BA500" s="3"/>
      <c r="BB500" s="3"/>
      <c r="BC500" s="3"/>
      <c r="BD500" s="3"/>
      <c r="BE500" s="3"/>
      <c r="BF500" s="3"/>
      <c r="BG500" s="3"/>
      <c r="BH500" s="3"/>
      <c r="BI500" s="3"/>
      <c r="BJ500" s="3"/>
      <c r="BK500" s="3"/>
      <c r="BL500" s="3"/>
      <c r="BM500" s="3"/>
      <c r="BN500" s="3"/>
    </row>
    <row r="501" spans="1:66" ht="12.95" customHeight="1">
      <c r="B501" s="1715" t="s">
        <v>404</v>
      </c>
      <c r="C501" s="1444"/>
      <c r="D501" s="1444"/>
      <c r="E501" s="1444"/>
      <c r="F501" s="1444"/>
      <c r="G501" s="1444"/>
      <c r="H501" s="1445"/>
      <c r="I501" s="42" t="s">
        <v>405</v>
      </c>
      <c r="J501" s="42"/>
      <c r="K501" s="42"/>
      <c r="L501" s="42"/>
      <c r="M501" s="42"/>
      <c r="N501" s="42"/>
      <c r="O501" s="42"/>
      <c r="P501" s="42"/>
      <c r="Q501" s="42"/>
      <c r="R501" s="42"/>
      <c r="S501" s="42"/>
      <c r="T501" s="42"/>
      <c r="U501" s="42"/>
      <c r="V501" s="42"/>
      <c r="W501" s="42"/>
      <c r="AC501" s="1744">
        <v>7</v>
      </c>
      <c r="AD501" s="1745"/>
      <c r="AE501" s="1745"/>
      <c r="AF501" s="1745"/>
      <c r="AG501" s="13" t="s">
        <v>402</v>
      </c>
      <c r="AH501" s="1380">
        <v>2022</v>
      </c>
      <c r="AI501" s="1380"/>
      <c r="AJ501" s="1380"/>
      <c r="AK501" s="1381"/>
      <c r="AZ501" s="3"/>
      <c r="BA501" s="3"/>
      <c r="BB501" s="3"/>
      <c r="BC501" s="3"/>
      <c r="BD501" s="3"/>
      <c r="BE501" s="3"/>
      <c r="BF501" s="3"/>
      <c r="BG501" s="3"/>
      <c r="BH501" s="3"/>
      <c r="BI501" s="3"/>
      <c r="BJ501" s="3"/>
      <c r="BK501" s="3"/>
      <c r="BL501" s="3"/>
      <c r="BM501" s="3"/>
      <c r="BN501" s="3"/>
    </row>
    <row r="502" spans="1:66" ht="12.95" customHeight="1">
      <c r="B502" s="1716"/>
      <c r="C502" s="1446"/>
      <c r="D502" s="1446"/>
      <c r="E502" s="1446"/>
      <c r="F502" s="1446"/>
      <c r="G502" s="1446"/>
      <c r="H502" s="1447"/>
      <c r="I502" s="48" t="s">
        <v>406</v>
      </c>
      <c r="J502" s="48"/>
      <c r="K502" s="48"/>
      <c r="L502" s="48"/>
      <c r="M502" s="48"/>
      <c r="N502" s="48"/>
      <c r="O502" s="48"/>
      <c r="P502" s="48"/>
      <c r="Q502" s="48"/>
      <c r="R502" s="48"/>
      <c r="S502" s="48"/>
      <c r="T502" s="48"/>
      <c r="U502" s="48"/>
      <c r="V502" s="48"/>
      <c r="W502" s="48"/>
      <c r="X502" s="48"/>
      <c r="Y502" s="48"/>
      <c r="Z502" s="48"/>
      <c r="AA502" s="48"/>
      <c r="AB502" s="48"/>
      <c r="AC502" s="1744">
        <v>10</v>
      </c>
      <c r="AD502" s="1745"/>
      <c r="AE502" s="1745"/>
      <c r="AF502" s="1745"/>
      <c r="AG502" s="38" t="s">
        <v>402</v>
      </c>
      <c r="AH502" s="1380">
        <v>2023</v>
      </c>
      <c r="AI502" s="1380"/>
      <c r="AJ502" s="1380"/>
      <c r="AK502" s="1381"/>
      <c r="AZ502" s="3"/>
      <c r="BA502" s="3"/>
      <c r="BB502" s="3"/>
      <c r="BC502" s="3"/>
      <c r="BD502" s="3"/>
      <c r="BE502" s="3"/>
      <c r="BF502" s="3"/>
      <c r="BG502" s="3"/>
      <c r="BH502" s="3"/>
      <c r="BI502" s="3"/>
      <c r="BJ502" s="3"/>
      <c r="BK502" s="3"/>
      <c r="BL502" s="3"/>
      <c r="BM502" s="3"/>
      <c r="BN502" s="3"/>
    </row>
    <row r="503" spans="1:66" ht="12.95" customHeight="1">
      <c r="B503" s="1715" t="s">
        <v>407</v>
      </c>
      <c r="C503" s="1444"/>
      <c r="D503" s="1444"/>
      <c r="E503" s="1444"/>
      <c r="F503" s="1444"/>
      <c r="G503" s="1444"/>
      <c r="H503" s="1445"/>
      <c r="I503" s="42" t="s">
        <v>408</v>
      </c>
      <c r="J503" s="42"/>
      <c r="K503" s="42"/>
      <c r="L503" s="42"/>
      <c r="M503" s="42"/>
      <c r="N503" s="42"/>
      <c r="O503" s="42"/>
      <c r="P503" s="42"/>
      <c r="Q503" s="42"/>
      <c r="R503" s="42"/>
      <c r="S503" s="42"/>
      <c r="T503" s="42"/>
      <c r="U503" s="42"/>
      <c r="V503" s="42"/>
      <c r="W503" s="42"/>
      <c r="AC503" s="1744" t="s">
        <v>590</v>
      </c>
      <c r="AD503" s="1745"/>
      <c r="AE503" s="1745"/>
      <c r="AF503" s="1745"/>
      <c r="AG503" s="13" t="s">
        <v>402</v>
      </c>
      <c r="AH503" s="1380"/>
      <c r="AI503" s="1380"/>
      <c r="AJ503" s="1380"/>
      <c r="AK503" s="1381"/>
      <c r="AZ503" s="3"/>
      <c r="BA503" s="3"/>
      <c r="BB503" s="3"/>
      <c r="BC503" s="3"/>
      <c r="BD503" s="3"/>
      <c r="BE503" s="3"/>
      <c r="BF503" s="3"/>
      <c r="BG503" s="3"/>
      <c r="BH503" s="3"/>
      <c r="BI503" s="3"/>
      <c r="BJ503" s="3"/>
      <c r="BK503" s="3"/>
      <c r="BL503" s="3"/>
      <c r="BM503" s="3"/>
      <c r="BN503" s="3"/>
    </row>
    <row r="504" spans="1:66" ht="12.95" customHeight="1">
      <c r="B504" s="1716"/>
      <c r="C504" s="1446"/>
      <c r="D504" s="1446"/>
      <c r="E504" s="1446"/>
      <c r="F504" s="1446"/>
      <c r="G504" s="1446"/>
      <c r="H504" s="1447"/>
      <c r="I504" t="s">
        <v>409</v>
      </c>
      <c r="AC504" s="1744" t="s">
        <v>590</v>
      </c>
      <c r="AD504" s="1745"/>
      <c r="AE504" s="1745"/>
      <c r="AF504" s="1745"/>
      <c r="AG504" s="13" t="s">
        <v>402</v>
      </c>
      <c r="AH504" s="1380"/>
      <c r="AI504" s="1380"/>
      <c r="AJ504" s="1380"/>
      <c r="AK504" s="1381"/>
      <c r="AZ504" s="3"/>
      <c r="BA504" s="3"/>
      <c r="BB504" s="3"/>
      <c r="BC504" s="3"/>
      <c r="BD504" s="3"/>
      <c r="BE504" s="3"/>
      <c r="BF504" s="3"/>
      <c r="BG504" s="3"/>
      <c r="BH504" s="3"/>
      <c r="BI504" s="3"/>
      <c r="BJ504" s="3"/>
      <c r="BK504" s="3"/>
      <c r="BL504" s="3"/>
      <c r="BM504" s="3"/>
      <c r="BN504" s="3"/>
    </row>
    <row r="505" spans="1:66" ht="12.95" customHeight="1">
      <c r="B505" s="1716"/>
      <c r="C505" s="1446"/>
      <c r="D505" s="1446"/>
      <c r="E505" s="1446"/>
      <c r="F505" s="1446"/>
      <c r="G505" s="1446"/>
      <c r="H505" s="1447"/>
      <c r="I505" t="s">
        <v>410</v>
      </c>
      <c r="AC505" s="1744">
        <v>10</v>
      </c>
      <c r="AD505" s="1745"/>
      <c r="AE505" s="1745"/>
      <c r="AF505" s="1745"/>
      <c r="AG505" s="13" t="s">
        <v>402</v>
      </c>
      <c r="AH505" s="1380">
        <v>2023</v>
      </c>
      <c r="AI505" s="1380"/>
      <c r="AJ505" s="1380"/>
      <c r="AK505" s="1381"/>
      <c r="AZ505" s="3"/>
      <c r="BA505" s="3"/>
      <c r="BB505" s="3"/>
      <c r="BC505" s="3"/>
      <c r="BD505" s="3"/>
      <c r="BE505" s="3"/>
      <c r="BF505" s="3"/>
      <c r="BG505" s="3"/>
      <c r="BH505" s="3"/>
      <c r="BI505" s="3"/>
      <c r="BJ505" s="3"/>
      <c r="BK505" s="3"/>
      <c r="BL505" s="3"/>
      <c r="BM505" s="3"/>
      <c r="BN505" s="3"/>
    </row>
    <row r="506" spans="1:66" ht="12.95" customHeight="1">
      <c r="B506" s="1716"/>
      <c r="C506" s="1446"/>
      <c r="D506" s="1446"/>
      <c r="E506" s="1446"/>
      <c r="F506" s="1446"/>
      <c r="G506" s="1446"/>
      <c r="H506" s="1447"/>
      <c r="I506" t="s">
        <v>411</v>
      </c>
      <c r="AC506" s="1744">
        <v>6</v>
      </c>
      <c r="AD506" s="1745"/>
      <c r="AE506" s="1745"/>
      <c r="AF506" s="1745"/>
      <c r="AG506" s="13" t="s">
        <v>402</v>
      </c>
      <c r="AH506" s="1380">
        <v>2024</v>
      </c>
      <c r="AI506" s="1380"/>
      <c r="AJ506" s="1380"/>
      <c r="AK506" s="1381"/>
      <c r="AZ506" s="3"/>
      <c r="BA506" s="3"/>
      <c r="BB506" s="3"/>
      <c r="BC506" s="3"/>
      <c r="BD506" s="3"/>
      <c r="BE506" s="3"/>
      <c r="BF506" s="3"/>
      <c r="BG506" s="3"/>
      <c r="BH506" s="3"/>
      <c r="BI506" s="3"/>
      <c r="BJ506" s="3"/>
      <c r="BK506" s="3"/>
      <c r="BL506" s="3"/>
      <c r="BM506" s="3"/>
      <c r="BN506" s="3"/>
    </row>
    <row r="507" spans="1:66" ht="12.95" customHeight="1">
      <c r="B507" s="1716"/>
      <c r="C507" s="1446"/>
      <c r="D507" s="1446"/>
      <c r="E507" s="1446"/>
      <c r="F507" s="1446"/>
      <c r="G507" s="1446"/>
      <c r="H507" s="1447"/>
      <c r="I507" s="3" t="s">
        <v>412</v>
      </c>
      <c r="AC507" s="1382">
        <v>1</v>
      </c>
      <c r="AD507" s="1383"/>
      <c r="AE507" s="1383"/>
      <c r="AF507" s="1383"/>
      <c r="AG507" s="13" t="s">
        <v>402</v>
      </c>
      <c r="AH507" s="1380">
        <v>2026</v>
      </c>
      <c r="AI507" s="1380"/>
      <c r="AJ507" s="1380"/>
      <c r="AK507" s="1381"/>
      <c r="AZ507" s="3"/>
      <c r="BA507" s="3"/>
      <c r="BB507" s="3"/>
      <c r="BC507" s="3"/>
      <c r="BD507" s="3"/>
      <c r="BE507" s="3"/>
      <c r="BF507" s="3"/>
      <c r="BG507" s="3"/>
      <c r="BH507" s="3"/>
      <c r="BI507" s="3"/>
      <c r="BJ507" s="3"/>
      <c r="BK507" s="3"/>
      <c r="BL507" s="3"/>
      <c r="BM507" s="3"/>
      <c r="BN507" s="3"/>
    </row>
    <row r="508" spans="1:66" ht="12.95" customHeight="1">
      <c r="B508" s="1716"/>
      <c r="C508" s="1446"/>
      <c r="D508" s="1446"/>
      <c r="E508" s="1446"/>
      <c r="F508" s="1446"/>
      <c r="G508" s="1446"/>
      <c r="H508" s="1447"/>
      <c r="I508" s="896" t="s">
        <v>169</v>
      </c>
      <c r="J508" s="48"/>
      <c r="K508" s="48"/>
      <c r="L508" s="1830" t="s">
        <v>333</v>
      </c>
      <c r="M508" s="1768"/>
      <c r="N508" s="1768"/>
      <c r="O508" s="1768"/>
      <c r="P508" s="1768"/>
      <c r="Q508" s="1768"/>
      <c r="R508" s="1768"/>
      <c r="S508" s="1768"/>
      <c r="T508" s="1768"/>
      <c r="U508" s="1768"/>
      <c r="V508" s="1768"/>
      <c r="W508" s="1768"/>
      <c r="X508" s="1768"/>
      <c r="Y508" s="1768"/>
      <c r="Z508" s="1768"/>
      <c r="AA508" s="1768"/>
      <c r="AB508" s="1853"/>
      <c r="AC508" s="1744" t="s">
        <v>590</v>
      </c>
      <c r="AD508" s="1745"/>
      <c r="AE508" s="1745"/>
      <c r="AF508" s="1745"/>
      <c r="AG508" s="38" t="s">
        <v>402</v>
      </c>
      <c r="AH508" s="1380"/>
      <c r="AI508" s="1380"/>
      <c r="AJ508" s="1380"/>
      <c r="AK508" s="1381"/>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747" t="s">
        <v>668</v>
      </c>
      <c r="AD509" s="1747"/>
      <c r="AE509" s="1747"/>
      <c r="AF509" s="1747"/>
      <c r="AG509" s="13"/>
      <c r="AH509" s="1336"/>
      <c r="AI509" s="1336"/>
      <c r="AJ509" s="1336"/>
      <c r="AK509" s="1724"/>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82"/>
      <c r="AD510" s="1383"/>
      <c r="AE510" s="1383"/>
      <c r="AF510" s="1384"/>
      <c r="AG510" s="13"/>
      <c r="AH510" s="1336"/>
      <c r="AI510" s="1336"/>
      <c r="AJ510" s="1336"/>
      <c r="AK510" s="1724"/>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43">
        <v>0.25</v>
      </c>
      <c r="AD512" s="1844"/>
      <c r="AE512" s="1844"/>
      <c r="AF512" s="1845"/>
      <c r="AG512" s="38"/>
      <c r="AH512" s="1742"/>
      <c r="AI512" s="1742"/>
      <c r="AJ512" s="1742"/>
      <c r="AK512" s="1743"/>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51" t="s">
        <v>401</v>
      </c>
      <c r="AD513" s="1730"/>
      <c r="AE513" s="1730"/>
      <c r="AF513" s="1730"/>
      <c r="AG513" s="38" t="s">
        <v>402</v>
      </c>
      <c r="AH513" s="1730" t="s">
        <v>403</v>
      </c>
      <c r="AI513" s="1730"/>
      <c r="AJ513" s="1730"/>
      <c r="AK513" s="1852"/>
      <c r="AZ513" s="3"/>
      <c r="BA513" s="3"/>
      <c r="BB513" s="3"/>
      <c r="BC513" s="3"/>
      <c r="BD513" s="3"/>
      <c r="BE513" s="3"/>
      <c r="BF513" s="3"/>
      <c r="BG513" s="3"/>
      <c r="BH513" s="3"/>
      <c r="BI513" s="3"/>
      <c r="BJ513" s="3"/>
      <c r="BK513" s="3"/>
      <c r="BL513" s="3"/>
      <c r="BM513" s="3"/>
      <c r="BN513" s="3" t="s">
        <v>2103</v>
      </c>
    </row>
    <row r="514" spans="2:66" ht="12.95" customHeight="1">
      <c r="B514" s="1715" t="s">
        <v>413</v>
      </c>
      <c r="C514" s="1444"/>
      <c r="D514" s="1444"/>
      <c r="E514" s="1444"/>
      <c r="F514" s="1444"/>
      <c r="G514" s="1444"/>
      <c r="H514" s="1445"/>
      <c r="I514" s="42" t="s">
        <v>414</v>
      </c>
      <c r="J514" s="42"/>
      <c r="K514" s="42"/>
      <c r="L514" s="42"/>
      <c r="M514" s="42"/>
      <c r="N514" s="42"/>
      <c r="O514" s="42"/>
      <c r="P514" s="42"/>
      <c r="Q514" s="42"/>
      <c r="R514" s="42"/>
      <c r="S514" s="42"/>
      <c r="T514" s="42"/>
      <c r="U514" s="42"/>
      <c r="V514" s="42"/>
      <c r="W514" s="42"/>
      <c r="AC514" s="1744">
        <v>5</v>
      </c>
      <c r="AD514" s="1745"/>
      <c r="AE514" s="1745"/>
      <c r="AF514" s="1745"/>
      <c r="AG514" s="13" t="s">
        <v>402</v>
      </c>
      <c r="AH514" s="1380">
        <v>2025</v>
      </c>
      <c r="AI514" s="1380"/>
      <c r="AJ514" s="1380"/>
      <c r="AK514" s="1381"/>
      <c r="AZ514" s="3"/>
      <c r="BA514" s="3"/>
      <c r="BB514" s="3"/>
      <c r="BC514" s="3"/>
      <c r="BD514" s="3"/>
      <c r="BE514" s="3"/>
      <c r="BF514" s="3"/>
      <c r="BG514" s="3"/>
      <c r="BH514" s="3"/>
      <c r="BI514" s="3"/>
      <c r="BJ514" s="3"/>
      <c r="BK514" s="3"/>
      <c r="BL514" s="3"/>
      <c r="BM514" s="3"/>
      <c r="BN514" s="3" t="s">
        <v>2104</v>
      </c>
    </row>
    <row r="515" spans="2:66" ht="12" customHeight="1">
      <c r="B515" s="1716"/>
      <c r="C515" s="1446"/>
      <c r="D515" s="1446"/>
      <c r="E515" s="1446"/>
      <c r="F515" s="1446"/>
      <c r="G515" s="1446"/>
      <c r="H515" s="1447"/>
      <c r="I515" t="s">
        <v>415</v>
      </c>
      <c r="AC515" s="1744">
        <v>5</v>
      </c>
      <c r="AD515" s="1745"/>
      <c r="AE515" s="1745"/>
      <c r="AF515" s="1745"/>
      <c r="AG515" s="13" t="s">
        <v>402</v>
      </c>
      <c r="AH515" s="1380">
        <v>2025</v>
      </c>
      <c r="AI515" s="1380"/>
      <c r="AJ515" s="1380"/>
      <c r="AK515" s="1381"/>
      <c r="AZ515" s="3"/>
      <c r="BA515" s="3"/>
      <c r="BB515" s="3"/>
      <c r="BC515" s="3"/>
      <c r="BD515" s="3"/>
      <c r="BE515" s="3"/>
      <c r="BF515" s="3"/>
      <c r="BG515" s="3"/>
      <c r="BH515" s="3"/>
      <c r="BI515" s="3"/>
      <c r="BJ515" s="3"/>
      <c r="BK515" s="3"/>
      <c r="BL515" s="3"/>
      <c r="BM515" s="3"/>
      <c r="BN515" s="3" t="s">
        <v>2105</v>
      </c>
    </row>
    <row r="516" spans="2:66" ht="12.95" customHeight="1">
      <c r="B516" s="1716"/>
      <c r="C516" s="1446"/>
      <c r="D516" s="1446"/>
      <c r="E516" s="1446"/>
      <c r="F516" s="1446"/>
      <c r="G516" s="1446"/>
      <c r="H516" s="1447"/>
      <c r="I516" s="48" t="s">
        <v>416</v>
      </c>
      <c r="J516" s="48"/>
      <c r="K516" s="48"/>
      <c r="L516" s="48"/>
      <c r="M516" s="48"/>
      <c r="N516" s="48"/>
      <c r="O516" s="48"/>
      <c r="P516" s="48"/>
      <c r="Q516" s="48"/>
      <c r="R516" s="48"/>
      <c r="S516" s="48"/>
      <c r="T516" s="48"/>
      <c r="U516" s="48"/>
      <c r="V516" s="48"/>
      <c r="W516" s="48"/>
      <c r="X516" s="48"/>
      <c r="Y516" s="48"/>
      <c r="Z516" s="48"/>
      <c r="AA516" s="48"/>
      <c r="AB516" s="48"/>
      <c r="AC516" s="1744">
        <v>1</v>
      </c>
      <c r="AD516" s="1745"/>
      <c r="AE516" s="1745"/>
      <c r="AF516" s="1745"/>
      <c r="AG516" s="38" t="s">
        <v>402</v>
      </c>
      <c r="AH516" s="1380">
        <v>2026</v>
      </c>
      <c r="AI516" s="1380"/>
      <c r="AJ516" s="1380"/>
      <c r="AK516" s="1381"/>
      <c r="AZ516" s="3"/>
      <c r="BA516" s="3"/>
      <c r="BB516" s="3"/>
      <c r="BC516" s="3"/>
      <c r="BD516" s="3"/>
      <c r="BE516" s="3"/>
      <c r="BF516" s="3"/>
      <c r="BG516" s="3"/>
      <c r="BH516" s="3"/>
      <c r="BI516" s="3"/>
      <c r="BJ516" s="3"/>
      <c r="BK516" s="3"/>
      <c r="BL516" s="3"/>
      <c r="BM516" s="3"/>
      <c r="BN516" s="3" t="s">
        <v>2106</v>
      </c>
    </row>
    <row r="517" spans="2:66" ht="12.95" customHeight="1">
      <c r="B517" s="1715" t="s">
        <v>417</v>
      </c>
      <c r="C517" s="1444"/>
      <c r="D517" s="1444"/>
      <c r="E517" s="1444"/>
      <c r="F517" s="1444"/>
      <c r="G517" s="1444"/>
      <c r="H517" s="1445"/>
      <c r="I517" s="42" t="s">
        <v>414</v>
      </c>
      <c r="J517" s="42"/>
      <c r="K517" s="42"/>
      <c r="L517" s="42"/>
      <c r="M517" s="42"/>
      <c r="N517" s="42"/>
      <c r="O517" s="42"/>
      <c r="P517" s="42"/>
      <c r="Q517" s="42"/>
      <c r="R517" s="42"/>
      <c r="S517" s="42"/>
      <c r="T517" s="42"/>
      <c r="U517" s="42"/>
      <c r="V517" s="42"/>
      <c r="W517" s="42"/>
      <c r="X517" s="42"/>
      <c r="Y517" s="42"/>
      <c r="Z517" s="42"/>
      <c r="AA517" s="42"/>
      <c r="AB517" s="42"/>
      <c r="AC517" s="1382">
        <v>5</v>
      </c>
      <c r="AD517" s="1383"/>
      <c r="AE517" s="1383"/>
      <c r="AF517" s="1383"/>
      <c r="AG517" s="129" t="s">
        <v>402</v>
      </c>
      <c r="AH517" s="1380">
        <v>2025</v>
      </c>
      <c r="AI517" s="1380"/>
      <c r="AJ517" s="1380"/>
      <c r="AK517" s="1381"/>
      <c r="AZ517" s="3"/>
      <c r="BB517" s="3"/>
      <c r="BC517" s="3"/>
      <c r="BD517" s="3"/>
      <c r="BE517" s="3"/>
      <c r="BF517" s="3"/>
      <c r="BG517" s="3"/>
      <c r="BH517" s="3"/>
      <c r="BI517" s="3"/>
      <c r="BJ517" s="3"/>
      <c r="BK517" s="3"/>
      <c r="BL517" s="3"/>
      <c r="BM517" s="3"/>
      <c r="BN517" s="3" t="s">
        <v>2107</v>
      </c>
    </row>
    <row r="518" spans="2:66" ht="12.95" customHeight="1">
      <c r="B518" s="1716"/>
      <c r="C518" s="1446"/>
      <c r="D518" s="1446"/>
      <c r="E518" s="1446"/>
      <c r="F518" s="1446"/>
      <c r="G518" s="1446"/>
      <c r="H518" s="1447"/>
      <c r="I518" t="s">
        <v>415</v>
      </c>
      <c r="AC518" s="1744">
        <v>5</v>
      </c>
      <c r="AD518" s="1745"/>
      <c r="AE518" s="1745"/>
      <c r="AF518" s="1745"/>
      <c r="AG518" s="13" t="s">
        <v>402</v>
      </c>
      <c r="AH518" s="1380">
        <v>2025</v>
      </c>
      <c r="AI518" s="1380"/>
      <c r="AJ518" s="1380"/>
      <c r="AK518" s="1381"/>
      <c r="BB518" s="3"/>
      <c r="BC518" s="3"/>
      <c r="BD518" s="3"/>
      <c r="BE518" s="3"/>
      <c r="BF518" s="3"/>
      <c r="BG518" s="3"/>
      <c r="BH518" s="3"/>
      <c r="BI518" s="3"/>
      <c r="BJ518" s="3"/>
      <c r="BK518" s="3"/>
      <c r="BL518" s="3"/>
      <c r="BM518" s="3"/>
      <c r="BN518" s="3" t="s">
        <v>2108</v>
      </c>
    </row>
    <row r="519" spans="2:66" ht="12.95" customHeight="1">
      <c r="B519" s="1717"/>
      <c r="C519" s="1448"/>
      <c r="D519" s="1448"/>
      <c r="E519" s="1448"/>
      <c r="F519" s="1448"/>
      <c r="G519" s="1448"/>
      <c r="H519" s="1449"/>
      <c r="I519" s="48" t="s">
        <v>416</v>
      </c>
      <c r="J519" s="48"/>
      <c r="K519" s="48"/>
      <c r="L519" s="48"/>
      <c r="M519" s="48"/>
      <c r="N519" s="48"/>
      <c r="O519" s="48"/>
      <c r="P519" s="48"/>
      <c r="Q519" s="48"/>
      <c r="R519" s="48"/>
      <c r="S519" s="48"/>
      <c r="T519" s="48"/>
      <c r="U519" s="48"/>
      <c r="V519" s="48"/>
      <c r="W519" s="48"/>
      <c r="X519" s="48"/>
      <c r="Y519" s="48"/>
      <c r="Z519" s="48"/>
      <c r="AA519" s="48"/>
      <c r="AB519" s="48"/>
      <c r="AC519" s="1744">
        <v>9</v>
      </c>
      <c r="AD519" s="1745"/>
      <c r="AE519" s="1745"/>
      <c r="AF519" s="1745"/>
      <c r="AG519" s="38" t="s">
        <v>402</v>
      </c>
      <c r="AH519" s="1380">
        <v>2028</v>
      </c>
      <c r="AI519" s="1380"/>
      <c r="AJ519" s="1380"/>
      <c r="AK519" s="1381"/>
      <c r="BB519" s="3"/>
      <c r="BC519" s="3"/>
      <c r="BD519" s="3"/>
      <c r="BE519" s="3"/>
      <c r="BF519" s="3"/>
      <c r="BG519" s="3"/>
      <c r="BH519" s="3"/>
      <c r="BI519" s="3"/>
      <c r="BJ519" s="3"/>
      <c r="BK519" s="3"/>
      <c r="BL519" s="3"/>
      <c r="BM519" s="3"/>
      <c r="BN519" s="3" t="s">
        <v>2109</v>
      </c>
    </row>
    <row r="520" spans="2:66" ht="12.95" customHeight="1">
      <c r="B520" s="1715" t="s">
        <v>418</v>
      </c>
      <c r="C520" s="1444"/>
      <c r="D520" s="1444"/>
      <c r="E520" s="1444"/>
      <c r="F520" s="1444"/>
      <c r="G520" s="1444"/>
      <c r="H520" s="1445"/>
      <c r="I520" s="41" t="s">
        <v>419</v>
      </c>
      <c r="J520" s="42"/>
      <c r="K520" s="42"/>
      <c r="L520" s="42"/>
      <c r="M520" s="42"/>
      <c r="N520" s="42"/>
      <c r="O520" s="1830" t="s">
        <v>333</v>
      </c>
      <c r="P520" s="1768"/>
      <c r="Q520" s="1768"/>
      <c r="R520" s="1768"/>
      <c r="S520" s="1768"/>
      <c r="T520" s="1768"/>
      <c r="U520" s="1768"/>
      <c r="V520" s="1768"/>
      <c r="W520" s="1768"/>
      <c r="X520" s="1768"/>
      <c r="Y520" s="1768"/>
      <c r="Z520" s="1768"/>
      <c r="AA520" s="1768"/>
      <c r="AB520" s="58"/>
      <c r="AC520" s="1382" t="s">
        <v>590</v>
      </c>
      <c r="AD520" s="1383"/>
      <c r="AE520" s="1383"/>
      <c r="AF520" s="1383"/>
      <c r="AG520" s="129" t="s">
        <v>402</v>
      </c>
      <c r="AH520" s="1380"/>
      <c r="AI520" s="1380"/>
      <c r="AJ520" s="1380"/>
      <c r="AK520" s="1381"/>
      <c r="AZ520" s="3"/>
      <c r="BB520" s="3"/>
      <c r="BC520" s="3"/>
      <c r="BD520" s="3"/>
      <c r="BE520" s="3"/>
      <c r="BF520" s="3"/>
      <c r="BG520" s="3"/>
      <c r="BH520" s="3"/>
      <c r="BI520" s="3"/>
      <c r="BJ520" s="3"/>
      <c r="BK520" s="3"/>
      <c r="BL520" s="3"/>
      <c r="BM520" s="3"/>
      <c r="BN520" s="3" t="s">
        <v>2110</v>
      </c>
    </row>
    <row r="521" spans="2:66" ht="12.95" customHeight="1">
      <c r="B521" s="1716"/>
      <c r="C521" s="1446"/>
      <c r="D521" s="1446"/>
      <c r="E521" s="1446"/>
      <c r="F521" s="1446"/>
      <c r="G521" s="1446"/>
      <c r="H521" s="1447"/>
      <c r="I521" s="114" t="s">
        <v>420</v>
      </c>
      <c r="AB521" s="65"/>
      <c r="AC521" s="1744" t="s">
        <v>590</v>
      </c>
      <c r="AD521" s="1745"/>
      <c r="AE521" s="1745"/>
      <c r="AF521" s="1745"/>
      <c r="AG521" s="13" t="s">
        <v>402</v>
      </c>
      <c r="AH521" s="1380"/>
      <c r="AI521" s="1380"/>
      <c r="AJ521" s="1380"/>
      <c r="AK521" s="1381"/>
      <c r="AZ521" s="3"/>
      <c r="BB521" s="3"/>
      <c r="BC521" s="3"/>
      <c r="BD521" s="3"/>
      <c r="BE521" s="3"/>
      <c r="BF521" s="3"/>
      <c r="BG521" s="3"/>
      <c r="BH521" s="3"/>
      <c r="BI521" s="3"/>
      <c r="BJ521" s="3"/>
      <c r="BK521" s="3"/>
      <c r="BL521" s="3"/>
      <c r="BM521" s="3"/>
      <c r="BN521" s="3" t="s">
        <v>2111</v>
      </c>
    </row>
    <row r="522" spans="2:66" ht="12.95" customHeight="1">
      <c r="B522" s="1716"/>
      <c r="C522" s="1446"/>
      <c r="D522" s="1446"/>
      <c r="E522" s="1446"/>
      <c r="F522" s="1446"/>
      <c r="G522" s="1446"/>
      <c r="H522" s="1447"/>
      <c r="I522" s="47" t="s">
        <v>421</v>
      </c>
      <c r="J522" s="48"/>
      <c r="K522" s="48"/>
      <c r="L522" s="48"/>
      <c r="M522" s="48"/>
      <c r="N522" s="48"/>
      <c r="O522" s="48"/>
      <c r="P522" s="48"/>
      <c r="Q522" s="48"/>
      <c r="R522" s="48"/>
      <c r="S522" s="48"/>
      <c r="T522" s="48"/>
      <c r="U522" s="48"/>
      <c r="V522" s="48"/>
      <c r="W522" s="48"/>
      <c r="X522" s="48"/>
      <c r="Y522" s="48"/>
      <c r="Z522" s="48"/>
      <c r="AA522" s="48"/>
      <c r="AB522" s="49"/>
      <c r="AC522" s="1744" t="s">
        <v>590</v>
      </c>
      <c r="AD522" s="1745"/>
      <c r="AE522" s="1745"/>
      <c r="AF522" s="1745"/>
      <c r="AG522" s="38" t="s">
        <v>402</v>
      </c>
      <c r="AH522" s="1380"/>
      <c r="AI522" s="1380"/>
      <c r="AJ522" s="1380"/>
      <c r="AK522" s="1381"/>
      <c r="AZ522" s="3"/>
      <c r="BA522" s="3"/>
      <c r="BB522" s="3"/>
      <c r="BC522" s="3"/>
      <c r="BD522" s="3"/>
      <c r="BE522" s="3"/>
      <c r="BF522" s="3"/>
      <c r="BG522" s="3"/>
      <c r="BH522" s="3"/>
      <c r="BI522" s="3"/>
      <c r="BJ522" s="3"/>
      <c r="BK522" s="3"/>
      <c r="BL522" s="3"/>
      <c r="BM522" s="3"/>
      <c r="BN522" s="3" t="s">
        <v>2112</v>
      </c>
    </row>
    <row r="523" spans="2:66" ht="12.95" customHeight="1">
      <c r="B523" s="1716"/>
      <c r="C523" s="1446"/>
      <c r="D523" s="1446"/>
      <c r="E523" s="1446"/>
      <c r="F523" s="1446"/>
      <c r="G523" s="1446"/>
      <c r="H523" s="1447"/>
      <c r="I523" s="42" t="s">
        <v>422</v>
      </c>
      <c r="J523" s="42"/>
      <c r="K523" s="42"/>
      <c r="L523" s="42"/>
      <c r="M523" s="42"/>
      <c r="N523" s="42"/>
      <c r="O523" s="1830" t="s">
        <v>333</v>
      </c>
      <c r="P523" s="1768"/>
      <c r="Q523" s="1768"/>
      <c r="R523" s="1768"/>
      <c r="S523" s="1768"/>
      <c r="T523" s="1768"/>
      <c r="U523" s="1768"/>
      <c r="V523" s="1768"/>
      <c r="W523" s="1768"/>
      <c r="X523" s="1768"/>
      <c r="Y523" s="1768"/>
      <c r="Z523" s="1768"/>
      <c r="AA523" s="1768"/>
      <c r="AC523" s="1744" t="s">
        <v>590</v>
      </c>
      <c r="AD523" s="1745"/>
      <c r="AE523" s="1745"/>
      <c r="AF523" s="1745"/>
      <c r="AG523" s="13" t="s">
        <v>402</v>
      </c>
      <c r="AH523" s="1380"/>
      <c r="AI523" s="1380"/>
      <c r="AJ523" s="1380"/>
      <c r="AK523" s="1381"/>
      <c r="AZ523" s="3"/>
      <c r="BA523" s="3"/>
      <c r="BB523" s="3"/>
      <c r="BC523" s="3"/>
      <c r="BD523" s="3"/>
      <c r="BE523" s="3"/>
      <c r="BF523" s="3"/>
      <c r="BG523" s="3"/>
      <c r="BH523" s="3"/>
      <c r="BI523" s="3"/>
      <c r="BJ523" s="3"/>
      <c r="BK523" s="3"/>
      <c r="BL523" s="3"/>
      <c r="BM523" s="3"/>
      <c r="BN523" s="3" t="s">
        <v>2113</v>
      </c>
    </row>
    <row r="524" spans="2:66" ht="12.95" customHeight="1">
      <c r="B524" s="1716"/>
      <c r="C524" s="1446"/>
      <c r="D524" s="1446"/>
      <c r="E524" s="1446"/>
      <c r="F524" s="1446"/>
      <c r="G524" s="1446"/>
      <c r="H524" s="1447"/>
      <c r="I524" t="s">
        <v>420</v>
      </c>
      <c r="AC524" s="1744" t="s">
        <v>590</v>
      </c>
      <c r="AD524" s="1745"/>
      <c r="AE524" s="1745"/>
      <c r="AF524" s="1745"/>
      <c r="AG524" s="13" t="s">
        <v>402</v>
      </c>
      <c r="AH524" s="1380"/>
      <c r="AI524" s="1380"/>
      <c r="AJ524" s="1380"/>
      <c r="AK524" s="1381"/>
      <c r="AZ524" s="3"/>
      <c r="BA524" s="3"/>
      <c r="BB524" s="3"/>
      <c r="BC524" s="3"/>
      <c r="BD524" s="3"/>
      <c r="BE524" s="3"/>
      <c r="BF524" s="3"/>
      <c r="BG524" s="3"/>
      <c r="BH524" s="3"/>
      <c r="BI524" s="3"/>
      <c r="BJ524" s="3"/>
      <c r="BK524" s="3"/>
      <c r="BL524" s="3"/>
      <c r="BM524" s="3"/>
      <c r="BN524" s="3" t="s">
        <v>2114</v>
      </c>
    </row>
    <row r="525" spans="2:66" ht="12.95" customHeight="1">
      <c r="B525" s="1716"/>
      <c r="C525" s="1446"/>
      <c r="D525" s="1446"/>
      <c r="E525" s="1446"/>
      <c r="F525" s="1446"/>
      <c r="G525" s="1446"/>
      <c r="H525" s="1447"/>
      <c r="I525" s="48" t="s">
        <v>421</v>
      </c>
      <c r="J525" s="48"/>
      <c r="K525" s="48"/>
      <c r="L525" s="48"/>
      <c r="M525" s="48"/>
      <c r="N525" s="48"/>
      <c r="O525" s="48"/>
      <c r="P525" s="48"/>
      <c r="Q525" s="48"/>
      <c r="R525" s="48"/>
      <c r="S525" s="48"/>
      <c r="T525" s="48"/>
      <c r="U525" s="48"/>
      <c r="V525" s="48"/>
      <c r="W525" s="48"/>
      <c r="X525" s="48"/>
      <c r="Y525" s="48"/>
      <c r="Z525" s="48"/>
      <c r="AA525" s="48"/>
      <c r="AB525" s="48"/>
      <c r="AC525" s="1744" t="s">
        <v>590</v>
      </c>
      <c r="AD525" s="1745"/>
      <c r="AE525" s="1745"/>
      <c r="AF525" s="1745"/>
      <c r="AG525" s="38" t="s">
        <v>402</v>
      </c>
      <c r="AH525" s="1380"/>
      <c r="AI525" s="1380"/>
      <c r="AJ525" s="1380"/>
      <c r="AK525" s="1381"/>
      <c r="AZ525" s="3"/>
      <c r="BA525" s="3"/>
      <c r="BB525" s="3"/>
      <c r="BC525" s="3"/>
      <c r="BD525" s="3"/>
      <c r="BE525" s="3"/>
      <c r="BF525" s="3"/>
      <c r="BG525" s="3"/>
      <c r="BH525" s="3"/>
      <c r="BI525" s="3"/>
      <c r="BJ525" s="3"/>
      <c r="BK525" s="3"/>
      <c r="BL525" s="3"/>
      <c r="BM525" s="3"/>
      <c r="BN525" s="3" t="s">
        <v>2115</v>
      </c>
    </row>
    <row r="526" spans="2:66" ht="12.95" customHeight="1">
      <c r="B526" s="1716"/>
      <c r="C526" s="1446"/>
      <c r="D526" s="1446"/>
      <c r="E526" s="1446"/>
      <c r="F526" s="1446"/>
      <c r="G526" s="1446"/>
      <c r="H526" s="1447"/>
      <c r="I526" s="42" t="s">
        <v>422</v>
      </c>
      <c r="J526" s="42"/>
      <c r="K526" s="42"/>
      <c r="L526" s="42"/>
      <c r="M526" s="42"/>
      <c r="N526" s="42"/>
      <c r="O526" s="1830" t="s">
        <v>333</v>
      </c>
      <c r="P526" s="1768"/>
      <c r="Q526" s="1768"/>
      <c r="R526" s="1768"/>
      <c r="S526" s="1768"/>
      <c r="T526" s="1768"/>
      <c r="U526" s="1768"/>
      <c r="V526" s="1768"/>
      <c r="W526" s="1768"/>
      <c r="X526" s="1768"/>
      <c r="Y526" s="1768"/>
      <c r="Z526" s="1768"/>
      <c r="AA526" s="1768"/>
      <c r="AC526" s="1744" t="s">
        <v>590</v>
      </c>
      <c r="AD526" s="1745"/>
      <c r="AE526" s="1745"/>
      <c r="AF526" s="1745"/>
      <c r="AG526" s="13" t="s">
        <v>402</v>
      </c>
      <c r="AH526" s="1380"/>
      <c r="AI526" s="1380"/>
      <c r="AJ526" s="1380"/>
      <c r="AK526" s="1381"/>
      <c r="AZ526" s="3"/>
      <c r="BA526" s="3"/>
      <c r="BB526" s="3"/>
      <c r="BC526" s="3"/>
      <c r="BD526" s="3"/>
      <c r="BE526" s="3"/>
      <c r="BF526" s="3"/>
      <c r="BG526" s="3"/>
      <c r="BH526" s="3"/>
      <c r="BI526" s="3"/>
      <c r="BJ526" s="3"/>
      <c r="BK526" s="3"/>
      <c r="BL526" s="3"/>
      <c r="BM526" s="3"/>
      <c r="BN526" s="3" t="s">
        <v>2116</v>
      </c>
    </row>
    <row r="527" spans="2:66" ht="12.95" customHeight="1">
      <c r="B527" s="1716"/>
      <c r="C527" s="1446"/>
      <c r="D527" s="1446"/>
      <c r="E527" s="1446"/>
      <c r="F527" s="1446"/>
      <c r="G527" s="1446"/>
      <c r="H527" s="1447"/>
      <c r="I527" t="s">
        <v>420</v>
      </c>
      <c r="AC527" s="1744" t="s">
        <v>590</v>
      </c>
      <c r="AD527" s="1745"/>
      <c r="AE527" s="1745"/>
      <c r="AF527" s="1745"/>
      <c r="AG527" s="13" t="s">
        <v>402</v>
      </c>
      <c r="AH527" s="1380"/>
      <c r="AI527" s="1380"/>
      <c r="AJ527" s="1380"/>
      <c r="AK527" s="1381"/>
      <c r="AZ527" s="3"/>
      <c r="BA527" s="3"/>
      <c r="BB527" s="3"/>
      <c r="BC527" s="3"/>
      <c r="BD527" s="3"/>
      <c r="BE527" s="3"/>
      <c r="BF527" s="3"/>
      <c r="BG527" s="3"/>
      <c r="BH527" s="3"/>
      <c r="BI527" s="3"/>
      <c r="BJ527" s="3"/>
      <c r="BK527" s="3"/>
      <c r="BL527" s="3"/>
      <c r="BM527" s="3"/>
      <c r="BN527" s="3" t="s">
        <v>2117</v>
      </c>
    </row>
    <row r="528" spans="2:66" ht="12.95" customHeight="1">
      <c r="B528" s="1716"/>
      <c r="C528" s="1446"/>
      <c r="D528" s="1446"/>
      <c r="E528" s="1446"/>
      <c r="F528" s="1446"/>
      <c r="G528" s="1446"/>
      <c r="H528" s="1447"/>
      <c r="I528" s="48" t="s">
        <v>421</v>
      </c>
      <c r="J528" s="48"/>
      <c r="K528" s="48"/>
      <c r="L528" s="48"/>
      <c r="M528" s="48"/>
      <c r="N528" s="48"/>
      <c r="O528" s="48"/>
      <c r="P528" s="48"/>
      <c r="Q528" s="48"/>
      <c r="R528" s="48"/>
      <c r="S528" s="48"/>
      <c r="T528" s="48"/>
      <c r="U528" s="48"/>
      <c r="V528" s="48"/>
      <c r="W528" s="48"/>
      <c r="X528" s="48"/>
      <c r="Y528" s="48"/>
      <c r="Z528" s="48"/>
      <c r="AA528" s="48"/>
      <c r="AB528" s="48"/>
      <c r="AC528" s="1744" t="s">
        <v>590</v>
      </c>
      <c r="AD528" s="1745"/>
      <c r="AE528" s="1745"/>
      <c r="AF528" s="1745"/>
      <c r="AG528" s="38" t="s">
        <v>402</v>
      </c>
      <c r="AH528" s="1380"/>
      <c r="AI528" s="1380"/>
      <c r="AJ528" s="1380"/>
      <c r="AK528" s="1381"/>
      <c r="AZ528" s="3"/>
      <c r="BA528" s="3"/>
      <c r="BB528" s="3"/>
      <c r="BC528" s="3"/>
      <c r="BD528" s="3"/>
      <c r="BE528" s="3"/>
      <c r="BF528" s="3"/>
      <c r="BG528" s="3"/>
      <c r="BH528" s="3"/>
      <c r="BI528" s="3"/>
      <c r="BJ528" s="3"/>
      <c r="BK528" s="3"/>
      <c r="BL528" s="3"/>
      <c r="BM528" s="3"/>
      <c r="BN528" s="3" t="s">
        <v>2118</v>
      </c>
    </row>
    <row r="529" spans="1:66" ht="12.95" customHeight="1">
      <c r="B529" s="1716"/>
      <c r="C529" s="1446"/>
      <c r="D529" s="1446"/>
      <c r="E529" s="1446"/>
      <c r="F529" s="1446"/>
      <c r="G529" s="1446"/>
      <c r="H529" s="1447"/>
      <c r="I529" s="42" t="s">
        <v>422</v>
      </c>
      <c r="J529" s="42"/>
      <c r="K529" s="42"/>
      <c r="L529" s="42"/>
      <c r="M529" s="42"/>
      <c r="N529" s="42"/>
      <c r="O529" s="1830" t="s">
        <v>333</v>
      </c>
      <c r="P529" s="1768"/>
      <c r="Q529" s="1768"/>
      <c r="R529" s="1768"/>
      <c r="S529" s="1768"/>
      <c r="T529" s="1768"/>
      <c r="U529" s="1768"/>
      <c r="V529" s="1768"/>
      <c r="W529" s="1768"/>
      <c r="X529" s="1768"/>
      <c r="Y529" s="1768"/>
      <c r="Z529" s="1768"/>
      <c r="AA529" s="1768"/>
      <c r="AC529" s="1744" t="s">
        <v>590</v>
      </c>
      <c r="AD529" s="1745"/>
      <c r="AE529" s="1745"/>
      <c r="AF529" s="1745"/>
      <c r="AG529" s="13" t="s">
        <v>402</v>
      </c>
      <c r="AH529" s="1380"/>
      <c r="AI529" s="1380"/>
      <c r="AJ529" s="1380"/>
      <c r="AK529" s="1381"/>
      <c r="AZ529" s="3"/>
      <c r="BA529" s="3"/>
      <c r="BB529" s="3"/>
      <c r="BC529" s="3"/>
      <c r="BD529" s="3"/>
      <c r="BE529" s="3"/>
      <c r="BF529" s="3"/>
      <c r="BG529" s="3"/>
      <c r="BH529" s="3"/>
      <c r="BI529" s="3"/>
      <c r="BJ529" s="3"/>
      <c r="BK529" s="3"/>
      <c r="BL529" s="3"/>
      <c r="BM529" s="3"/>
      <c r="BN529" s="3" t="s">
        <v>2119</v>
      </c>
    </row>
    <row r="530" spans="1:66" ht="12.95" customHeight="1">
      <c r="B530" s="1716"/>
      <c r="C530" s="1446"/>
      <c r="D530" s="1446"/>
      <c r="E530" s="1446"/>
      <c r="F530" s="1446"/>
      <c r="G530" s="1446"/>
      <c r="H530" s="1447"/>
      <c r="I530" t="s">
        <v>420</v>
      </c>
      <c r="AC530" s="1744" t="s">
        <v>590</v>
      </c>
      <c r="AD530" s="1745"/>
      <c r="AE530" s="1745"/>
      <c r="AF530" s="1745"/>
      <c r="AG530" s="13" t="s">
        <v>402</v>
      </c>
      <c r="AH530" s="1380"/>
      <c r="AI530" s="1380"/>
      <c r="AJ530" s="1380"/>
      <c r="AK530" s="1381"/>
      <c r="AZ530" s="3"/>
      <c r="BA530" s="3"/>
      <c r="BB530" s="3"/>
      <c r="BC530" s="3"/>
      <c r="BD530" s="3"/>
      <c r="BE530" s="3"/>
      <c r="BF530" s="3"/>
      <c r="BG530" s="3"/>
      <c r="BH530" s="3"/>
      <c r="BI530" s="3"/>
      <c r="BJ530" s="3"/>
      <c r="BK530" s="3"/>
      <c r="BL530" s="3"/>
      <c r="BM530" s="3"/>
      <c r="BN530" s="3" t="s">
        <v>2120</v>
      </c>
    </row>
    <row r="531" spans="1:66" ht="12.95" customHeight="1">
      <c r="B531" s="1716"/>
      <c r="C531" s="1446"/>
      <c r="D531" s="1446"/>
      <c r="E531" s="1446"/>
      <c r="F531" s="1446"/>
      <c r="G531" s="1446"/>
      <c r="H531" s="1447"/>
      <c r="I531" s="48" t="s">
        <v>421</v>
      </c>
      <c r="J531" s="48"/>
      <c r="K531" s="48"/>
      <c r="L531" s="48"/>
      <c r="M531" s="48"/>
      <c r="N531" s="48"/>
      <c r="O531" s="48"/>
      <c r="P531" s="48"/>
      <c r="Q531" s="48"/>
      <c r="R531" s="48"/>
      <c r="S531" s="48"/>
      <c r="T531" s="48"/>
      <c r="U531" s="48"/>
      <c r="V531" s="48"/>
      <c r="W531" s="48"/>
      <c r="X531" s="48"/>
      <c r="Y531" s="48"/>
      <c r="Z531" s="48"/>
      <c r="AA531" s="48"/>
      <c r="AB531" s="48"/>
      <c r="AC531" s="1744" t="s">
        <v>590</v>
      </c>
      <c r="AD531" s="1745"/>
      <c r="AE531" s="1745"/>
      <c r="AF531" s="1745"/>
      <c r="AG531" s="38" t="s">
        <v>402</v>
      </c>
      <c r="AH531" s="1380"/>
      <c r="AI531" s="1380"/>
      <c r="AJ531" s="1380"/>
      <c r="AK531" s="1381"/>
      <c r="AZ531" s="3"/>
      <c r="BA531" s="3"/>
      <c r="BB531" s="3"/>
      <c r="BC531" s="3"/>
      <c r="BD531" s="3"/>
      <c r="BE531" s="3"/>
      <c r="BF531" s="3"/>
      <c r="BG531" s="3"/>
      <c r="BH531" s="3"/>
      <c r="BI531" s="3"/>
      <c r="BJ531" s="3"/>
      <c r="BK531" s="3"/>
      <c r="BL531" s="3"/>
      <c r="BM531" s="3"/>
      <c r="BN531" s="3" t="s">
        <v>2121</v>
      </c>
    </row>
    <row r="532" spans="1:66" ht="12.95" customHeight="1">
      <c r="B532" s="1716"/>
      <c r="C532" s="1446"/>
      <c r="D532" s="1446"/>
      <c r="E532" s="1446"/>
      <c r="F532" s="1446"/>
      <c r="G532" s="1446"/>
      <c r="H532" s="1447"/>
      <c r="I532" s="42" t="s">
        <v>422</v>
      </c>
      <c r="J532" s="42"/>
      <c r="K532" s="42"/>
      <c r="L532" s="42"/>
      <c r="M532" s="42"/>
      <c r="N532" s="42"/>
      <c r="O532" s="1830" t="s">
        <v>333</v>
      </c>
      <c r="P532" s="1768"/>
      <c r="Q532" s="1768"/>
      <c r="R532" s="1768"/>
      <c r="S532" s="1768"/>
      <c r="T532" s="1768"/>
      <c r="U532" s="1768"/>
      <c r="V532" s="1768"/>
      <c r="W532" s="1768"/>
      <c r="X532" s="1768"/>
      <c r="Y532" s="1768"/>
      <c r="Z532" s="1768"/>
      <c r="AA532" s="1768"/>
      <c r="AC532" s="1744" t="s">
        <v>590</v>
      </c>
      <c r="AD532" s="1745"/>
      <c r="AE532" s="1745"/>
      <c r="AF532" s="1745"/>
      <c r="AG532" s="13" t="s">
        <v>402</v>
      </c>
      <c r="AH532" s="1380"/>
      <c r="AI532" s="1380"/>
      <c r="AJ532" s="1380"/>
      <c r="AK532" s="1381"/>
      <c r="AZ532" s="3"/>
      <c r="BA532" s="3"/>
      <c r="BB532" s="3"/>
      <c r="BC532" s="3"/>
      <c r="BD532" s="3"/>
      <c r="BE532" s="3"/>
      <c r="BF532" s="3"/>
      <c r="BG532" s="3"/>
      <c r="BH532" s="3"/>
      <c r="BI532" s="3"/>
      <c r="BJ532" s="3"/>
      <c r="BK532" s="3"/>
      <c r="BL532" s="3"/>
      <c r="BM532" s="3"/>
      <c r="BN532" s="3" t="s">
        <v>2122</v>
      </c>
    </row>
    <row r="533" spans="1:66" ht="12.95" customHeight="1">
      <c r="B533" s="1716"/>
      <c r="C533" s="1446"/>
      <c r="D533" s="1446"/>
      <c r="E533" s="1446"/>
      <c r="F533" s="1446"/>
      <c r="G533" s="1446"/>
      <c r="H533" s="1447"/>
      <c r="I533" t="s">
        <v>420</v>
      </c>
      <c r="AC533" s="1744" t="s">
        <v>590</v>
      </c>
      <c r="AD533" s="1745"/>
      <c r="AE533" s="1745"/>
      <c r="AF533" s="1745"/>
      <c r="AG533" s="38" t="s">
        <v>402</v>
      </c>
      <c r="AH533" s="1380"/>
      <c r="AI533" s="1380"/>
      <c r="AJ533" s="1380"/>
      <c r="AK533" s="1381"/>
      <c r="AZ533" s="3"/>
      <c r="BA533" s="3"/>
      <c r="BB533" s="3"/>
      <c r="BC533" s="3"/>
      <c r="BD533" s="3"/>
      <c r="BE533" s="3"/>
      <c r="BF533" s="3"/>
      <c r="BG533" s="3"/>
      <c r="BH533" s="3"/>
      <c r="BI533" s="3"/>
      <c r="BJ533" s="3"/>
      <c r="BK533" s="3"/>
      <c r="BL533" s="3"/>
      <c r="BM533" s="3"/>
      <c r="BN533" s="3" t="s">
        <v>2123</v>
      </c>
    </row>
    <row r="534" spans="1:66" ht="12.95" customHeight="1">
      <c r="B534" s="1716"/>
      <c r="C534" s="1446"/>
      <c r="D534" s="1446"/>
      <c r="E534" s="1446"/>
      <c r="F534" s="1446"/>
      <c r="G534" s="1446"/>
      <c r="H534" s="1447"/>
      <c r="I534" s="48" t="s">
        <v>421</v>
      </c>
      <c r="J534" s="48"/>
      <c r="K534" s="48"/>
      <c r="L534" s="48"/>
      <c r="M534" s="48"/>
      <c r="N534" s="48"/>
      <c r="O534" s="48"/>
      <c r="P534" s="48"/>
      <c r="Q534" s="48"/>
      <c r="R534" s="48"/>
      <c r="S534" s="48"/>
      <c r="T534" s="48"/>
      <c r="U534" s="48"/>
      <c r="V534" s="48"/>
      <c r="W534" s="48"/>
      <c r="X534" s="48"/>
      <c r="Y534" s="48"/>
      <c r="Z534" s="48"/>
      <c r="AA534" s="48"/>
      <c r="AB534" s="48"/>
      <c r="AC534" s="1744" t="s">
        <v>590</v>
      </c>
      <c r="AD534" s="1745"/>
      <c r="AE534" s="1745"/>
      <c r="AF534" s="1745"/>
      <c r="AG534" s="13" t="s">
        <v>402</v>
      </c>
      <c r="AH534" s="1380"/>
      <c r="AI534" s="1380"/>
      <c r="AJ534" s="1380"/>
      <c r="AK534" s="1381"/>
      <c r="AZ534" s="3"/>
      <c r="BA534" s="3"/>
      <c r="BB534" s="3"/>
      <c r="BC534" s="3"/>
      <c r="BD534" s="3"/>
      <c r="BE534" s="3"/>
      <c r="BF534" s="3"/>
      <c r="BG534" s="3"/>
      <c r="BH534" s="3"/>
      <c r="BI534" s="3"/>
      <c r="BJ534" s="3"/>
      <c r="BK534" s="3"/>
      <c r="BL534" s="3"/>
      <c r="BM534" s="3"/>
      <c r="BN534" s="3" t="s">
        <v>2124</v>
      </c>
    </row>
    <row r="535" spans="1:66" ht="12.95" customHeight="1">
      <c r="B535" s="1716"/>
      <c r="C535" s="1446"/>
      <c r="D535" s="1446"/>
      <c r="E535" s="1446"/>
      <c r="F535" s="1446"/>
      <c r="G535" s="1446"/>
      <c r="H535" s="1447"/>
      <c r="I535" s="42" t="s">
        <v>422</v>
      </c>
      <c r="J535" s="42"/>
      <c r="K535" s="42"/>
      <c r="L535" s="42"/>
      <c r="M535" s="42"/>
      <c r="N535" s="42"/>
      <c r="O535" s="1830" t="s">
        <v>333</v>
      </c>
      <c r="P535" s="1768"/>
      <c r="Q535" s="1768"/>
      <c r="R535" s="1768"/>
      <c r="S535" s="1768"/>
      <c r="T535" s="1768"/>
      <c r="U535" s="1768"/>
      <c r="V535" s="1768"/>
      <c r="W535" s="1768"/>
      <c r="X535" s="1768"/>
      <c r="Y535" s="1768"/>
      <c r="Z535" s="1768"/>
      <c r="AA535" s="1768"/>
      <c r="AC535" s="1744" t="s">
        <v>590</v>
      </c>
      <c r="AD535" s="1745"/>
      <c r="AE535" s="1745"/>
      <c r="AF535" s="1745"/>
      <c r="AG535" s="38" t="s">
        <v>402</v>
      </c>
      <c r="AH535" s="1380"/>
      <c r="AI535" s="1380"/>
      <c r="AJ535" s="1380"/>
      <c r="AK535" s="1381"/>
      <c r="AZ535" s="3"/>
      <c r="BA535" s="3"/>
      <c r="BB535" s="3"/>
      <c r="BC535" s="3"/>
      <c r="BD535" s="3"/>
      <c r="BE535" s="3"/>
      <c r="BF535" s="3"/>
      <c r="BG535" s="3"/>
      <c r="BH535" s="3"/>
      <c r="BI535" s="3"/>
      <c r="BJ535" s="3"/>
      <c r="BK535" s="3"/>
      <c r="BL535" s="3"/>
      <c r="BM535" s="3"/>
      <c r="BN535" s="3" t="s">
        <v>2125</v>
      </c>
    </row>
    <row r="536" spans="1:66" ht="12.95" customHeight="1">
      <c r="B536" s="1716"/>
      <c r="C536" s="1446"/>
      <c r="D536" s="1446"/>
      <c r="E536" s="1446"/>
      <c r="F536" s="1446"/>
      <c r="G536" s="1446"/>
      <c r="H536" s="1447"/>
      <c r="I536" t="s">
        <v>420</v>
      </c>
      <c r="AC536" s="1744" t="s">
        <v>590</v>
      </c>
      <c r="AD536" s="1745"/>
      <c r="AE536" s="1745"/>
      <c r="AF536" s="1745"/>
      <c r="AG536" s="13" t="s">
        <v>402</v>
      </c>
      <c r="AH536" s="1380"/>
      <c r="AI536" s="1380"/>
      <c r="AJ536" s="1380"/>
      <c r="AK536" s="1381"/>
      <c r="AZ536" s="3"/>
      <c r="BA536" s="3"/>
      <c r="BB536" s="3"/>
      <c r="BC536" s="3"/>
      <c r="BD536" s="3"/>
      <c r="BE536" s="3"/>
      <c r="BF536" s="3"/>
      <c r="BG536" s="3"/>
      <c r="BH536" s="3"/>
      <c r="BI536" s="3"/>
      <c r="BJ536" s="3"/>
      <c r="BK536" s="3"/>
      <c r="BL536" s="3"/>
      <c r="BM536" s="3"/>
      <c r="BN536" s="3" t="s">
        <v>2126</v>
      </c>
    </row>
    <row r="537" spans="1:66" ht="12.95" customHeight="1">
      <c r="B537" s="1716"/>
      <c r="C537" s="1446"/>
      <c r="D537" s="1446"/>
      <c r="E537" s="1446"/>
      <c r="F537" s="1446"/>
      <c r="G537" s="1446"/>
      <c r="H537" s="1447"/>
      <c r="I537" s="48" t="s">
        <v>421</v>
      </c>
      <c r="J537" s="48"/>
      <c r="K537" s="48"/>
      <c r="L537" s="48"/>
      <c r="M537" s="48"/>
      <c r="N537" s="48"/>
      <c r="O537" s="48"/>
      <c r="P537" s="48"/>
      <c r="Q537" s="48"/>
      <c r="R537" s="48"/>
      <c r="S537" s="48"/>
      <c r="T537" s="48"/>
      <c r="U537" s="48"/>
      <c r="V537" s="48"/>
      <c r="W537" s="48"/>
      <c r="X537" s="48"/>
      <c r="Y537" s="48"/>
      <c r="Z537" s="48"/>
      <c r="AA537" s="48"/>
      <c r="AB537" s="48"/>
      <c r="AC537" s="1744" t="s">
        <v>590</v>
      </c>
      <c r="AD537" s="1745"/>
      <c r="AE537" s="1745"/>
      <c r="AF537" s="1745"/>
      <c r="AG537" s="38" t="s">
        <v>402</v>
      </c>
      <c r="AH537" s="1380"/>
      <c r="AI537" s="1380"/>
      <c r="AJ537" s="1380"/>
      <c r="AK537" s="1381"/>
      <c r="AZ537" s="3"/>
      <c r="BA537" s="3"/>
      <c r="BB537" s="3"/>
      <c r="BC537" s="3"/>
      <c r="BD537" s="3"/>
      <c r="BE537" s="3"/>
      <c r="BF537" s="3"/>
      <c r="BG537" s="3"/>
      <c r="BH537" s="3"/>
      <c r="BI537" s="3"/>
      <c r="BJ537" s="3"/>
      <c r="BK537" s="3"/>
      <c r="BL537" s="3"/>
      <c r="BM537" s="3"/>
      <c r="BN537" s="3" t="s">
        <v>2127</v>
      </c>
    </row>
    <row r="538" spans="1:66" ht="12.95" customHeight="1">
      <c r="B538" s="1716"/>
      <c r="C538" s="1446"/>
      <c r="D538" s="1446"/>
      <c r="E538" s="1446"/>
      <c r="F538" s="1446"/>
      <c r="G538" s="1446"/>
      <c r="H538" s="1447"/>
      <c r="I538" s="42" t="s">
        <v>561</v>
      </c>
      <c r="J538" s="42"/>
      <c r="K538" s="42"/>
      <c r="L538" s="42"/>
      <c r="M538" s="42"/>
      <c r="N538" s="42"/>
      <c r="O538" s="42"/>
      <c r="P538" s="42"/>
      <c r="Q538" s="42"/>
      <c r="R538" s="42"/>
      <c r="S538" s="42"/>
      <c r="T538" s="42"/>
      <c r="U538" s="42"/>
      <c r="V538" s="42"/>
      <c r="W538" s="42"/>
      <c r="AC538" s="1744">
        <v>8</v>
      </c>
      <c r="AD538" s="1745"/>
      <c r="AE538" s="1745"/>
      <c r="AF538" s="1745"/>
      <c r="AG538" s="38" t="s">
        <v>402</v>
      </c>
      <c r="AH538" s="1380">
        <v>2026</v>
      </c>
      <c r="AI538" s="1380"/>
      <c r="AJ538" s="1380"/>
      <c r="AK538" s="1381"/>
      <c r="AZ538" s="3"/>
      <c r="BA538" s="3"/>
      <c r="BB538" s="3"/>
      <c r="BC538" s="3"/>
      <c r="BD538" s="3"/>
      <c r="BE538" s="3"/>
      <c r="BF538" s="3"/>
      <c r="BG538" s="3"/>
      <c r="BH538" s="3"/>
      <c r="BI538" s="3"/>
      <c r="BJ538" s="3"/>
      <c r="BK538" s="3"/>
      <c r="BL538" s="3"/>
      <c r="BM538" s="3"/>
      <c r="BN538" s="3"/>
    </row>
    <row r="539" spans="1:66" ht="12.95" customHeight="1">
      <c r="B539" s="1716"/>
      <c r="C539" s="1446"/>
      <c r="D539" s="1446"/>
      <c r="E539" s="1446"/>
      <c r="F539" s="1446"/>
      <c r="G539" s="1446"/>
      <c r="H539" s="1447"/>
      <c r="I539" t="s">
        <v>562</v>
      </c>
      <c r="AC539" s="1744">
        <v>1</v>
      </c>
      <c r="AD539" s="1745"/>
      <c r="AE539" s="1745"/>
      <c r="AF539" s="1745"/>
      <c r="AG539" s="13" t="s">
        <v>402</v>
      </c>
      <c r="AH539" s="1380">
        <v>2026</v>
      </c>
      <c r="AI539" s="1380"/>
      <c r="AJ539" s="1380"/>
      <c r="AK539" s="1381"/>
      <c r="AZ539" s="3"/>
      <c r="BA539" s="3"/>
      <c r="BB539" s="3"/>
      <c r="BC539" s="3"/>
      <c r="BD539" s="3"/>
      <c r="BE539" s="3"/>
      <c r="BF539" s="3"/>
      <c r="BG539" s="3"/>
      <c r="BH539" s="3"/>
      <c r="BI539" s="3"/>
      <c r="BJ539" s="3"/>
      <c r="BK539" s="3"/>
      <c r="BL539" s="3"/>
      <c r="BM539" s="3"/>
      <c r="BN539" s="3"/>
    </row>
    <row r="540" spans="1:66" ht="12.95" customHeight="1">
      <c r="B540" s="1716"/>
      <c r="C540" s="1446"/>
      <c r="D540" s="1446"/>
      <c r="E540" s="1446"/>
      <c r="F540" s="1446"/>
      <c r="G540" s="1446"/>
      <c r="H540" s="1447"/>
      <c r="I540" t="s">
        <v>563</v>
      </c>
      <c r="AC540" s="1744">
        <v>12</v>
      </c>
      <c r="AD540" s="1745"/>
      <c r="AE540" s="1745"/>
      <c r="AF540" s="1745"/>
      <c r="AG540" s="38" t="s">
        <v>402</v>
      </c>
      <c r="AH540" s="1380">
        <v>2027</v>
      </c>
      <c r="AI540" s="1380"/>
      <c r="AJ540" s="1380"/>
      <c r="AK540" s="1381"/>
      <c r="AZ540" s="3"/>
      <c r="BA540" s="3"/>
      <c r="BB540" s="3"/>
      <c r="BC540" s="3"/>
      <c r="BD540" s="3"/>
      <c r="BE540" s="3"/>
      <c r="BF540" s="3"/>
      <c r="BG540" s="3"/>
      <c r="BH540" s="3"/>
      <c r="BI540" s="3"/>
      <c r="BJ540" s="3"/>
      <c r="BK540" s="3"/>
      <c r="BL540" s="3"/>
      <c r="BM540" s="3"/>
      <c r="BN540" s="3"/>
    </row>
    <row r="541" spans="1:66" ht="12.95" customHeight="1">
      <c r="B541" s="1716"/>
      <c r="C541" s="1446"/>
      <c r="D541" s="1446"/>
      <c r="E541" s="1446"/>
      <c r="F541" s="1446"/>
      <c r="G541" s="1446"/>
      <c r="H541" s="1447"/>
      <c r="I541" t="s">
        <v>564</v>
      </c>
      <c r="AC541" s="1744">
        <v>12</v>
      </c>
      <c r="AD541" s="1745"/>
      <c r="AE541" s="1745"/>
      <c r="AF541" s="1745"/>
      <c r="AG541" s="38" t="s">
        <v>402</v>
      </c>
      <c r="AH541" s="1380">
        <v>2027</v>
      </c>
      <c r="AI541" s="1380"/>
      <c r="AJ541" s="1380"/>
      <c r="AK541" s="1381"/>
      <c r="AZ541" s="3"/>
      <c r="BA541" s="3"/>
      <c r="BB541" s="3"/>
      <c r="BC541" s="3"/>
      <c r="BD541" s="3"/>
      <c r="BE541" s="3"/>
      <c r="BF541" s="3"/>
      <c r="BG541" s="3"/>
      <c r="BH541" s="3"/>
      <c r="BI541" s="3"/>
      <c r="BJ541" s="3"/>
      <c r="BK541" s="3"/>
      <c r="BL541" s="3"/>
      <c r="BM541" s="3"/>
      <c r="BN541" s="3"/>
    </row>
    <row r="542" spans="1:66" ht="12.95" customHeight="1">
      <c r="B542" s="1717"/>
      <c r="C542" s="1448"/>
      <c r="D542" s="1448"/>
      <c r="E542" s="1448"/>
      <c r="F542" s="1448"/>
      <c r="G542" s="1448"/>
      <c r="H542" s="1449"/>
      <c r="I542" s="48" t="s">
        <v>450</v>
      </c>
      <c r="J542" s="48"/>
      <c r="K542" s="48"/>
      <c r="L542" s="48"/>
      <c r="M542" s="48"/>
      <c r="N542" s="48"/>
      <c r="O542" s="48"/>
      <c r="P542" s="48"/>
      <c r="Q542" s="48"/>
      <c r="R542" s="48"/>
      <c r="S542" s="48"/>
      <c r="T542" s="48"/>
      <c r="U542" s="48"/>
      <c r="V542" s="48"/>
      <c r="W542" s="48"/>
      <c r="X542" s="48"/>
      <c r="Y542" s="48"/>
      <c r="Z542" s="48"/>
      <c r="AA542" s="48"/>
      <c r="AB542" s="48"/>
      <c r="AC542" s="1744">
        <v>5</v>
      </c>
      <c r="AD542" s="1745"/>
      <c r="AE542" s="1745"/>
      <c r="AF542" s="1745"/>
      <c r="AG542" s="38" t="s">
        <v>402</v>
      </c>
      <c r="AH542" s="1380">
        <v>2028</v>
      </c>
      <c r="AI542" s="1380"/>
      <c r="AJ542" s="1380"/>
      <c r="AK542" s="138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542</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f>N657</f>
        <v>0</v>
      </c>
    </row>
    <row r="551" spans="1:61" ht="12.95" customHeight="1">
      <c r="B551" s="1715" t="s">
        <v>2101</v>
      </c>
      <c r="C551" s="1444"/>
      <c r="D551" s="1444"/>
      <c r="E551" s="1444"/>
      <c r="F551" s="1444"/>
      <c r="G551" s="1444"/>
      <c r="H551" s="1444"/>
      <c r="I551" s="1444"/>
      <c r="J551" s="1444"/>
      <c r="K551" s="1444"/>
      <c r="L551" s="1445"/>
      <c r="M551" s="1715" t="s">
        <v>2102</v>
      </c>
      <c r="N551" s="1444"/>
      <c r="O551" s="1444"/>
      <c r="P551" s="1445"/>
      <c r="Q551" s="1715" t="s">
        <v>2128</v>
      </c>
      <c r="R551" s="1444"/>
      <c r="S551" s="1445"/>
      <c r="T551" s="1715" t="s">
        <v>2129</v>
      </c>
      <c r="U551" s="1444"/>
      <c r="V551" s="1445"/>
      <c r="W551" s="1715" t="s">
        <v>452</v>
      </c>
      <c r="X551" s="1444"/>
      <c r="Y551" s="1445"/>
      <c r="Z551" s="1715" t="s">
        <v>1850</v>
      </c>
      <c r="AA551" s="1444"/>
      <c r="AB551" s="1444"/>
      <c r="AC551" s="1444"/>
      <c r="AD551" s="1445"/>
      <c r="AE551" s="1715" t="s">
        <v>1674</v>
      </c>
      <c r="AF551" s="1444"/>
      <c r="AG551" s="1444"/>
      <c r="AH551" s="1445"/>
      <c r="AI551" s="1715" t="s">
        <v>1675</v>
      </c>
      <c r="AJ551" s="1444"/>
      <c r="AK551" s="1444"/>
      <c r="AL551" s="1445"/>
      <c r="AM551" s="1715" t="s">
        <v>453</v>
      </c>
      <c r="AN551" s="1444"/>
      <c r="AO551" s="1444"/>
      <c r="AP551" s="1444"/>
      <c r="AQ551" s="1444"/>
      <c r="AR551" s="1444"/>
      <c r="AS551" s="1445"/>
      <c r="BB551" s="3"/>
      <c r="BC551" s="3"/>
      <c r="BD551" s="3"/>
      <c r="BE551" s="3"/>
      <c r="BF551" s="3"/>
      <c r="BG551" s="3"/>
      <c r="BH551" s="3" t="s">
        <v>580</v>
      </c>
      <c r="BI551" s="3" t="str">
        <f>AG657</f>
        <v>No</v>
      </c>
    </row>
    <row r="552" spans="1:61" ht="12.95" customHeight="1">
      <c r="B552" s="1716"/>
      <c r="C552" s="1446"/>
      <c r="D552" s="1446"/>
      <c r="E552" s="1446"/>
      <c r="F552" s="1446"/>
      <c r="G552" s="1446"/>
      <c r="H552" s="1446"/>
      <c r="I552" s="1446"/>
      <c r="J552" s="1446"/>
      <c r="K552" s="1446"/>
      <c r="L552" s="1447"/>
      <c r="M552" s="1716"/>
      <c r="N552" s="1446"/>
      <c r="O552" s="1446"/>
      <c r="P552" s="1447"/>
      <c r="Q552" s="1716"/>
      <c r="R552" s="1446"/>
      <c r="S552" s="1447"/>
      <c r="T552" s="1716"/>
      <c r="U552" s="1446"/>
      <c r="V552" s="1447"/>
      <c r="W552" s="1716"/>
      <c r="X552" s="1446"/>
      <c r="Y552" s="1447"/>
      <c r="Z552" s="1716"/>
      <c r="AA552" s="1446"/>
      <c r="AB552" s="1446"/>
      <c r="AC552" s="1446"/>
      <c r="AD552" s="1447"/>
      <c r="AE552" s="1716"/>
      <c r="AF552" s="1446"/>
      <c r="AG552" s="1446"/>
      <c r="AH552" s="1447"/>
      <c r="AI552" s="1716"/>
      <c r="AJ552" s="1446"/>
      <c r="AK552" s="1446"/>
      <c r="AL552" s="1447"/>
      <c r="AM552" s="1716"/>
      <c r="AN552" s="1446"/>
      <c r="AO552" s="1446"/>
      <c r="AP552" s="1446"/>
      <c r="AQ552" s="1446"/>
      <c r="AR552" s="1446"/>
      <c r="AS552" s="1447"/>
      <c r="AU552" s="1147"/>
      <c r="BB552" s="3"/>
      <c r="BC552" s="3"/>
      <c r="BD552" s="3"/>
      <c r="BE552" s="3"/>
      <c r="BF552" s="3"/>
      <c r="BG552" s="3"/>
      <c r="BH552" s="3"/>
      <c r="BI552" s="3"/>
    </row>
    <row r="553" spans="1:61" ht="12.95" customHeight="1">
      <c r="B553" s="1717"/>
      <c r="C553" s="1448"/>
      <c r="D553" s="1448"/>
      <c r="E553" s="1448"/>
      <c r="F553" s="1448"/>
      <c r="G553" s="1448"/>
      <c r="H553" s="1448"/>
      <c r="I553" s="1448"/>
      <c r="J553" s="1448"/>
      <c r="K553" s="1448"/>
      <c r="L553" s="1449"/>
      <c r="M553" s="1717"/>
      <c r="N553" s="1448"/>
      <c r="O553" s="1448"/>
      <c r="P553" s="1449"/>
      <c r="Q553" s="1717"/>
      <c r="R553" s="1448"/>
      <c r="S553" s="1449"/>
      <c r="T553" s="1717"/>
      <c r="U553" s="1448"/>
      <c r="V553" s="1449"/>
      <c r="W553" s="1717"/>
      <c r="X553" s="1448"/>
      <c r="Y553" s="1449"/>
      <c r="Z553" s="1717"/>
      <c r="AA553" s="1448"/>
      <c r="AB553" s="1448"/>
      <c r="AC553" s="1448"/>
      <c r="AD553" s="1449"/>
      <c r="AE553" s="1717"/>
      <c r="AF553" s="1448"/>
      <c r="AG553" s="1448"/>
      <c r="AH553" s="1449"/>
      <c r="AI553" s="1717"/>
      <c r="AJ553" s="1448"/>
      <c r="AK553" s="1448"/>
      <c r="AL553" s="1449"/>
      <c r="AM553" s="1717"/>
      <c r="AN553" s="1448"/>
      <c r="AO553" s="1448"/>
      <c r="AP553" s="1448"/>
      <c r="AQ553" s="1448"/>
      <c r="AR553" s="1448"/>
      <c r="AS553" s="1449"/>
      <c r="AU553" s="1147"/>
      <c r="BB553" s="3"/>
      <c r="BC553" s="3"/>
      <c r="BD553" s="3"/>
      <c r="BE553" s="3"/>
      <c r="BF553" s="3"/>
      <c r="BG553" s="3"/>
      <c r="BH553" s="3"/>
      <c r="BI553" s="3"/>
    </row>
    <row r="554" spans="1:61" ht="12.95" customHeight="1">
      <c r="B554" s="51" t="s">
        <v>112</v>
      </c>
      <c r="C554" s="1453" t="s">
        <v>2719</v>
      </c>
      <c r="D554" s="1453"/>
      <c r="E554" s="1453"/>
      <c r="F554" s="1453"/>
      <c r="G554" s="1453"/>
      <c r="H554" s="1453"/>
      <c r="I554" s="1453"/>
      <c r="J554" s="1453"/>
      <c r="K554" s="1453"/>
      <c r="L554" s="1453"/>
      <c r="M554" s="1453" t="s">
        <v>2118</v>
      </c>
      <c r="N554" s="1453"/>
      <c r="O554" s="1453"/>
      <c r="P554" s="1453"/>
      <c r="Q554" s="1719">
        <v>32</v>
      </c>
      <c r="R554" s="1719"/>
      <c r="S554" s="1720"/>
      <c r="T554" s="1718">
        <f>Q554</f>
        <v>32</v>
      </c>
      <c r="U554" s="1719"/>
      <c r="V554" s="1720"/>
      <c r="W554" s="1465">
        <v>0.05</v>
      </c>
      <c r="X554" s="1466"/>
      <c r="Y554" s="1467"/>
      <c r="Z554" s="1721" t="s">
        <v>2749</v>
      </c>
      <c r="AA554" s="1721"/>
      <c r="AB554" s="1721"/>
      <c r="AC554" s="1721"/>
      <c r="AD554" s="1721"/>
      <c r="AE554" s="1462">
        <v>1</v>
      </c>
      <c r="AF554" s="1463"/>
      <c r="AG554" s="1463"/>
      <c r="AH554" s="1464"/>
      <c r="AI554" s="1700"/>
      <c r="AJ554" s="1701"/>
      <c r="AK554" s="1701"/>
      <c r="AL554" s="1702"/>
      <c r="AM554" s="1416">
        <v>27800000</v>
      </c>
      <c r="AN554" s="1417"/>
      <c r="AO554" s="1417"/>
      <c r="AP554" s="1417"/>
      <c r="AQ554" s="1417"/>
      <c r="AR554" s="1417"/>
      <c r="AS554" s="1418"/>
      <c r="AT554" s="1148"/>
      <c r="AU554" s="1147"/>
      <c r="BB554" s="3"/>
      <c r="BC554" s="3"/>
      <c r="BD554" s="3"/>
      <c r="BE554" s="3"/>
      <c r="BF554" s="3"/>
      <c r="BG554" s="3"/>
      <c r="BH554" s="3"/>
      <c r="BI554" s="3"/>
    </row>
    <row r="555" spans="1:61" ht="12.95" customHeight="1">
      <c r="B555" s="52" t="s">
        <v>113</v>
      </c>
      <c r="C555" s="1722" t="s">
        <v>2720</v>
      </c>
      <c r="D555" s="1722"/>
      <c r="E555" s="1722"/>
      <c r="F555" s="1722"/>
      <c r="G555" s="1722"/>
      <c r="H555" s="1722"/>
      <c r="I555" s="1722"/>
      <c r="J555" s="1722"/>
      <c r="K555" s="1722"/>
      <c r="L555" s="1722"/>
      <c r="M555" s="1453" t="s">
        <v>2117</v>
      </c>
      <c r="N555" s="1453"/>
      <c r="O555" s="1453"/>
      <c r="P555" s="1453"/>
      <c r="Q555" s="1718">
        <v>32</v>
      </c>
      <c r="R555" s="1719"/>
      <c r="S555" s="1720"/>
      <c r="T555" s="1718">
        <f>Q555</f>
        <v>32</v>
      </c>
      <c r="U555" s="1719"/>
      <c r="V555" s="1720"/>
      <c r="W555" s="1465">
        <v>5.5E-2</v>
      </c>
      <c r="X555" s="1466"/>
      <c r="Y555" s="1467"/>
      <c r="Z555" s="1721" t="s">
        <v>2749</v>
      </c>
      <c r="AA555" s="1721"/>
      <c r="AB555" s="1721"/>
      <c r="AC555" s="1721"/>
      <c r="AD555" s="1721"/>
      <c r="AE555" s="1462">
        <v>1</v>
      </c>
      <c r="AF555" s="1463"/>
      <c r="AG555" s="1463"/>
      <c r="AH555" s="1464"/>
      <c r="AI555" s="1700"/>
      <c r="AJ555" s="1701"/>
      <c r="AK555" s="1701"/>
      <c r="AL555" s="1702"/>
      <c r="AM555" s="1416">
        <v>8870000</v>
      </c>
      <c r="AN555" s="1417"/>
      <c r="AO555" s="1417"/>
      <c r="AP555" s="1417"/>
      <c r="AQ555" s="1417"/>
      <c r="AR555" s="1417"/>
      <c r="AS555" s="1418"/>
      <c r="AT555" s="1148" t="str">
        <f>IF(AND(NOT(C554=""),C555="",NOT(C556="")),"!","")</f>
        <v/>
      </c>
      <c r="AU555" s="1147"/>
      <c r="BB555" s="3"/>
      <c r="BC555" s="3"/>
      <c r="BD555" s="3"/>
      <c r="BE555" s="3"/>
      <c r="BF555" s="3"/>
      <c r="BG555" s="3"/>
      <c r="BH555" s="3"/>
      <c r="BI555" s="3"/>
    </row>
    <row r="556" spans="1:61" ht="12.95" customHeight="1">
      <c r="B556" s="52" t="s">
        <v>119</v>
      </c>
      <c r="C556" s="1722" t="s">
        <v>2721</v>
      </c>
      <c r="D556" s="1722"/>
      <c r="E556" s="1722"/>
      <c r="F556" s="1722"/>
      <c r="G556" s="1722"/>
      <c r="H556" s="1722"/>
      <c r="I556" s="1722"/>
      <c r="J556" s="1722"/>
      <c r="K556" s="1722"/>
      <c r="L556" s="1722"/>
      <c r="M556" s="1453" t="s">
        <v>2119</v>
      </c>
      <c r="N556" s="1453"/>
      <c r="O556" s="1453"/>
      <c r="P556" s="1453"/>
      <c r="Q556" s="1718">
        <v>32</v>
      </c>
      <c r="R556" s="1719"/>
      <c r="S556" s="1720"/>
      <c r="T556" s="1718">
        <f>Q556</f>
        <v>32</v>
      </c>
      <c r="U556" s="1719"/>
      <c r="V556" s="1720"/>
      <c r="W556" s="1465">
        <v>0.05</v>
      </c>
      <c r="X556" s="1466"/>
      <c r="Y556" s="1467"/>
      <c r="Z556" s="1721" t="s">
        <v>2749</v>
      </c>
      <c r="AA556" s="1721"/>
      <c r="AB556" s="1721"/>
      <c r="AC556" s="1721"/>
      <c r="AD556" s="1721"/>
      <c r="AE556" s="1462">
        <v>1</v>
      </c>
      <c r="AF556" s="1463"/>
      <c r="AG556" s="1463"/>
      <c r="AH556" s="1464"/>
      <c r="AI556" s="1700"/>
      <c r="AJ556" s="1701"/>
      <c r="AK556" s="1701"/>
      <c r="AL556" s="1702"/>
      <c r="AM556" s="1416">
        <v>4400000</v>
      </c>
      <c r="AN556" s="1417"/>
      <c r="AO556" s="1417"/>
      <c r="AP556" s="1417"/>
      <c r="AQ556" s="1417"/>
      <c r="AR556" s="1417"/>
      <c r="AS556" s="1418"/>
      <c r="AT556" s="1148" t="str">
        <f>IF(AND(NOT(C555=""),C556="",NOT(C557="")),"!","")</f>
        <v/>
      </c>
      <c r="AU556" s="1147"/>
      <c r="BB556" s="3"/>
      <c r="BC556" s="3"/>
      <c r="BD556" s="3"/>
      <c r="BE556" s="3"/>
      <c r="BF556" s="3"/>
      <c r="BG556" s="3"/>
      <c r="BH556" s="3"/>
      <c r="BI556" s="3"/>
    </row>
    <row r="557" spans="1:61" ht="12.95" customHeight="1">
      <c r="B557" s="52" t="s">
        <v>580</v>
      </c>
      <c r="C557" s="1722" t="s">
        <v>2722</v>
      </c>
      <c r="D557" s="1722"/>
      <c r="E557" s="1722"/>
      <c r="F557" s="1722"/>
      <c r="G557" s="1722"/>
      <c r="H557" s="1722"/>
      <c r="I557" s="1722"/>
      <c r="J557" s="1722"/>
      <c r="K557" s="1722"/>
      <c r="L557" s="1722"/>
      <c r="M557" s="1453" t="s">
        <v>2109</v>
      </c>
      <c r="N557" s="1453"/>
      <c r="O557" s="1453"/>
      <c r="P557" s="1453"/>
      <c r="Q557" s="1718"/>
      <c r="R557" s="1719"/>
      <c r="S557" s="1720"/>
      <c r="T557" s="1718"/>
      <c r="U557" s="1719"/>
      <c r="V557" s="1720"/>
      <c r="W557" s="1465"/>
      <c r="X557" s="1466"/>
      <c r="Y557" s="1467"/>
      <c r="Z557" s="1721" t="s">
        <v>1182</v>
      </c>
      <c r="AA557" s="1721"/>
      <c r="AB557" s="1721"/>
      <c r="AC557" s="1721"/>
      <c r="AD557" s="1721"/>
      <c r="AE557" s="1462"/>
      <c r="AF557" s="1463"/>
      <c r="AG557" s="1463"/>
      <c r="AH557" s="1464"/>
      <c r="AI557" s="1700"/>
      <c r="AJ557" s="1701"/>
      <c r="AK557" s="1701"/>
      <c r="AL557" s="1702"/>
      <c r="AM557" s="1416">
        <v>8748836</v>
      </c>
      <c r="AN557" s="1417"/>
      <c r="AO557" s="1417"/>
      <c r="AP557" s="1417"/>
      <c r="AQ557" s="1417"/>
      <c r="AR557" s="1417"/>
      <c r="AS557" s="1418"/>
      <c r="AT557" s="1148" t="str">
        <f>IF(AND(NOT(C556=""),C557="",NOT(C558="")),"!","")</f>
        <v/>
      </c>
      <c r="AU557" s="1147"/>
      <c r="BB557" s="3"/>
      <c r="BC557" s="3"/>
      <c r="BD557" s="3"/>
      <c r="BE557" s="3"/>
      <c r="BF557" s="3"/>
      <c r="BG557" s="3"/>
      <c r="BH557" s="3"/>
      <c r="BI557" s="3"/>
    </row>
    <row r="558" spans="1:61" ht="12.95" customHeight="1">
      <c r="B558" s="52" t="s">
        <v>762</v>
      </c>
      <c r="C558" s="1722" t="s">
        <v>2723</v>
      </c>
      <c r="D558" s="1722"/>
      <c r="E558" s="1722"/>
      <c r="F558" s="1722"/>
      <c r="G558" s="1722"/>
      <c r="H558" s="1722"/>
      <c r="I558" s="1722"/>
      <c r="J558" s="1722"/>
      <c r="K558" s="1722"/>
      <c r="L558" s="1722"/>
      <c r="M558" s="1453" t="s">
        <v>2109</v>
      </c>
      <c r="N558" s="1453"/>
      <c r="O558" s="1453"/>
      <c r="P558" s="1453"/>
      <c r="Q558" s="1718"/>
      <c r="R558" s="1719"/>
      <c r="S558" s="1720"/>
      <c r="T558" s="1718"/>
      <c r="U558" s="1719"/>
      <c r="V558" s="1720"/>
      <c r="W558" s="1465"/>
      <c r="X558" s="1466"/>
      <c r="Y558" s="1467"/>
      <c r="Z558" s="1721" t="s">
        <v>1182</v>
      </c>
      <c r="AA558" s="1721"/>
      <c r="AB558" s="1721"/>
      <c r="AC558" s="1721"/>
      <c r="AD558" s="1721"/>
      <c r="AE558" s="1462"/>
      <c r="AF558" s="1463"/>
      <c r="AG558" s="1463"/>
      <c r="AH558" s="1464"/>
      <c r="AI558" s="1700"/>
      <c r="AJ558" s="1701"/>
      <c r="AK558" s="1701"/>
      <c r="AL558" s="1702"/>
      <c r="AM558" s="1416">
        <v>2103640</v>
      </c>
      <c r="AN558" s="1417"/>
      <c r="AO558" s="1417"/>
      <c r="AP558" s="1417"/>
      <c r="AQ558" s="1417"/>
      <c r="AR558" s="1417"/>
      <c r="AS558" s="1418"/>
      <c r="AT558" s="1148" t="str">
        <f t="shared" ref="AT558:AT565" si="0">IF(AND(NOT(C557=""),C558="",NOT(C559="")),"!","")</f>
        <v/>
      </c>
      <c r="AU558" s="1147"/>
      <c r="BB558" s="3"/>
      <c r="BC558" s="3"/>
      <c r="BD558" s="3"/>
      <c r="BE558" s="3"/>
      <c r="BF558" s="3"/>
      <c r="BG558" s="3"/>
      <c r="BH558" s="3" t="s">
        <v>762</v>
      </c>
      <c r="BI558" s="3" t="str">
        <f>N665</f>
        <v>No</v>
      </c>
    </row>
    <row r="559" spans="1:61" ht="12.95" customHeight="1">
      <c r="B559" s="52" t="s">
        <v>583</v>
      </c>
      <c r="C559" s="1722" t="s">
        <v>2724</v>
      </c>
      <c r="D559" s="1722"/>
      <c r="E559" s="1722"/>
      <c r="F559" s="1722"/>
      <c r="G559" s="1722"/>
      <c r="H559" s="1722"/>
      <c r="I559" s="1722"/>
      <c r="J559" s="1722"/>
      <c r="K559" s="1722"/>
      <c r="L559" s="1722"/>
      <c r="M559" s="1453" t="s">
        <v>2104</v>
      </c>
      <c r="N559" s="1453"/>
      <c r="O559" s="1453"/>
      <c r="P559" s="1453"/>
      <c r="Q559" s="1718"/>
      <c r="R559" s="1719"/>
      <c r="S559" s="1720"/>
      <c r="T559" s="1718"/>
      <c r="U559" s="1719"/>
      <c r="V559" s="1720"/>
      <c r="W559" s="1465"/>
      <c r="X559" s="1466"/>
      <c r="Y559" s="1467"/>
      <c r="Z559" s="1721" t="s">
        <v>1182</v>
      </c>
      <c r="AA559" s="1721"/>
      <c r="AB559" s="1721"/>
      <c r="AC559" s="1721"/>
      <c r="AD559" s="1721"/>
      <c r="AE559" s="1462"/>
      <c r="AF559" s="1463"/>
      <c r="AG559" s="1463"/>
      <c r="AH559" s="1464"/>
      <c r="AI559" s="1700"/>
      <c r="AJ559" s="1701"/>
      <c r="AK559" s="1701"/>
      <c r="AL559" s="1702"/>
      <c r="AM559" s="1416">
        <v>730778</v>
      </c>
      <c r="AN559" s="1417"/>
      <c r="AO559" s="1417"/>
      <c r="AP559" s="1417"/>
      <c r="AQ559" s="1417"/>
      <c r="AR559" s="1417"/>
      <c r="AS559" s="1418"/>
      <c r="AT559" s="1148" t="str">
        <f t="shared" si="0"/>
        <v/>
      </c>
      <c r="AU559" s="1147"/>
      <c r="BB559" s="3"/>
      <c r="BC559" s="3"/>
      <c r="BD559" s="3"/>
      <c r="BE559" s="3"/>
      <c r="BF559" s="3"/>
      <c r="BG559" s="3"/>
      <c r="BH559" s="3" t="s">
        <v>583</v>
      </c>
      <c r="BI559" s="3" t="str">
        <f>AG665</f>
        <v>No</v>
      </c>
    </row>
    <row r="560" spans="1:61" ht="12.95" customHeight="1">
      <c r="B560" s="52" t="s">
        <v>454</v>
      </c>
      <c r="C560" s="1722" t="s">
        <v>2725</v>
      </c>
      <c r="D560" s="1722"/>
      <c r="E560" s="1722"/>
      <c r="F560" s="1722"/>
      <c r="G560" s="1722"/>
      <c r="H560" s="1722"/>
      <c r="I560" s="1722"/>
      <c r="J560" s="1722"/>
      <c r="K560" s="1722"/>
      <c r="L560" s="1722"/>
      <c r="M560" s="1453" t="s">
        <v>2105</v>
      </c>
      <c r="N560" s="1453"/>
      <c r="O560" s="1453"/>
      <c r="P560" s="1453"/>
      <c r="Q560" s="1718"/>
      <c r="R560" s="1719"/>
      <c r="S560" s="1720"/>
      <c r="T560" s="1718"/>
      <c r="U560" s="1719"/>
      <c r="V560" s="1720"/>
      <c r="W560" s="1465"/>
      <c r="X560" s="1466"/>
      <c r="Y560" s="1467"/>
      <c r="Z560" s="1721" t="s">
        <v>1182</v>
      </c>
      <c r="AA560" s="1721"/>
      <c r="AB560" s="1721"/>
      <c r="AC560" s="1721"/>
      <c r="AD560" s="1721"/>
      <c r="AE560" s="1462"/>
      <c r="AF560" s="1463"/>
      <c r="AG560" s="1463"/>
      <c r="AH560" s="1464"/>
      <c r="AI560" s="1700"/>
      <c r="AJ560" s="1701"/>
      <c r="AK560" s="1701"/>
      <c r="AL560" s="1702"/>
      <c r="AM560" s="1416">
        <v>6291960</v>
      </c>
      <c r="AN560" s="1417"/>
      <c r="AO560" s="1417"/>
      <c r="AP560" s="1417"/>
      <c r="AQ560" s="1417"/>
      <c r="AR560" s="1417"/>
      <c r="AS560" s="1418"/>
      <c r="AT560" s="1148" t="str">
        <f t="shared" si="0"/>
        <v/>
      </c>
      <c r="AU560" s="1147"/>
      <c r="BB560" s="3"/>
      <c r="BC560" s="3"/>
      <c r="BD560" s="3"/>
      <c r="BE560" s="3"/>
      <c r="BF560" s="3"/>
      <c r="BG560" s="3"/>
      <c r="BH560" s="3"/>
      <c r="BI560" s="3"/>
    </row>
    <row r="561" spans="1:61" ht="12.95" customHeight="1">
      <c r="B561" s="52" t="s">
        <v>455</v>
      </c>
      <c r="C561" s="1722"/>
      <c r="D561" s="1722"/>
      <c r="E561" s="1722"/>
      <c r="F561" s="1722"/>
      <c r="G561" s="1722"/>
      <c r="H561" s="1722"/>
      <c r="I561" s="1722"/>
      <c r="J561" s="1722"/>
      <c r="K561" s="1722"/>
      <c r="L561" s="1722"/>
      <c r="M561" s="1453" t="s">
        <v>1182</v>
      </c>
      <c r="N561" s="1453"/>
      <c r="O561" s="1453"/>
      <c r="P561" s="1453"/>
      <c r="Q561" s="1718"/>
      <c r="R561" s="1719"/>
      <c r="S561" s="1720"/>
      <c r="T561" s="1718"/>
      <c r="U561" s="1719"/>
      <c r="V561" s="1720"/>
      <c r="W561" s="1465"/>
      <c r="X561" s="1466"/>
      <c r="Y561" s="1467"/>
      <c r="Z561" s="1721" t="s">
        <v>1182</v>
      </c>
      <c r="AA561" s="1721"/>
      <c r="AB561" s="1721"/>
      <c r="AC561" s="1721"/>
      <c r="AD561" s="1721"/>
      <c r="AE561" s="1462"/>
      <c r="AF561" s="1463"/>
      <c r="AG561" s="1463"/>
      <c r="AH561" s="1464"/>
      <c r="AI561" s="1700"/>
      <c r="AJ561" s="1701"/>
      <c r="AK561" s="1701"/>
      <c r="AL561" s="1702"/>
      <c r="AM561" s="1416"/>
      <c r="AN561" s="1417"/>
      <c r="AO561" s="1417"/>
      <c r="AP561" s="1417"/>
      <c r="AQ561" s="1417"/>
      <c r="AR561" s="1417"/>
      <c r="AS561" s="1418"/>
      <c r="AT561" s="1148" t="str">
        <f t="shared" si="0"/>
        <v/>
      </c>
      <c r="AU561" s="1147"/>
      <c r="BB561" s="3"/>
      <c r="BC561" s="3"/>
      <c r="BD561" s="3"/>
      <c r="BE561" s="3"/>
      <c r="BF561" s="3"/>
      <c r="BG561" s="3"/>
      <c r="BH561" s="3"/>
      <c r="BI561" s="3"/>
    </row>
    <row r="562" spans="1:61" ht="12.95" customHeight="1">
      <c r="B562" s="52" t="s">
        <v>460</v>
      </c>
      <c r="C562" s="1722"/>
      <c r="D562" s="1722"/>
      <c r="E562" s="1722"/>
      <c r="F562" s="1722"/>
      <c r="G562" s="1722"/>
      <c r="H562" s="1722"/>
      <c r="I562" s="1722"/>
      <c r="J562" s="1722"/>
      <c r="K562" s="1722"/>
      <c r="L562" s="1722"/>
      <c r="M562" s="1453" t="s">
        <v>1182</v>
      </c>
      <c r="N562" s="1453"/>
      <c r="O562" s="1453"/>
      <c r="P562" s="1453"/>
      <c r="Q562" s="1718"/>
      <c r="R562" s="1719"/>
      <c r="S562" s="1720"/>
      <c r="T562" s="1718"/>
      <c r="U562" s="1719"/>
      <c r="V562" s="1720"/>
      <c r="W562" s="1465"/>
      <c r="X562" s="1466"/>
      <c r="Y562" s="1467"/>
      <c r="Z562" s="1721" t="s">
        <v>1182</v>
      </c>
      <c r="AA562" s="1721"/>
      <c r="AB562" s="1721"/>
      <c r="AC562" s="1721"/>
      <c r="AD562" s="1721"/>
      <c r="AE562" s="1462"/>
      <c r="AF562" s="1463"/>
      <c r="AG562" s="1463"/>
      <c r="AH562" s="1464"/>
      <c r="AI562" s="1700"/>
      <c r="AJ562" s="1701"/>
      <c r="AK562" s="1701"/>
      <c r="AL562" s="1702"/>
      <c r="AM562" s="1416"/>
      <c r="AN562" s="1417"/>
      <c r="AO562" s="1417"/>
      <c r="AP562" s="1417"/>
      <c r="AQ562" s="1417"/>
      <c r="AR562" s="1417"/>
      <c r="AS562" s="1418"/>
      <c r="AT562" s="1148" t="str">
        <f t="shared" si="0"/>
        <v/>
      </c>
      <c r="AU562" s="1147"/>
      <c r="BB562" s="3"/>
      <c r="BC562" s="3"/>
      <c r="BD562" s="3"/>
      <c r="BE562" s="3"/>
      <c r="BF562" s="3"/>
      <c r="BG562" s="3"/>
      <c r="BH562" s="3"/>
      <c r="BI562" s="3"/>
    </row>
    <row r="563" spans="1:61" ht="12.95" customHeight="1">
      <c r="B563" s="52" t="s">
        <v>645</v>
      </c>
      <c r="C563" s="1722"/>
      <c r="D563" s="1722"/>
      <c r="E563" s="1722"/>
      <c r="F563" s="1722"/>
      <c r="G563" s="1722"/>
      <c r="H563" s="1722"/>
      <c r="I563" s="1722"/>
      <c r="J563" s="1722"/>
      <c r="K563" s="1722"/>
      <c r="L563" s="1722"/>
      <c r="M563" s="1453" t="s">
        <v>1182</v>
      </c>
      <c r="N563" s="1453"/>
      <c r="O563" s="1453"/>
      <c r="P563" s="1453"/>
      <c r="Q563" s="1718"/>
      <c r="R563" s="1719"/>
      <c r="S563" s="1720"/>
      <c r="T563" s="1718"/>
      <c r="U563" s="1719"/>
      <c r="V563" s="1720"/>
      <c r="W563" s="1465"/>
      <c r="X563" s="1466"/>
      <c r="Y563" s="1467"/>
      <c r="Z563" s="1721" t="s">
        <v>1182</v>
      </c>
      <c r="AA563" s="1721"/>
      <c r="AB563" s="1721"/>
      <c r="AC563" s="1721"/>
      <c r="AD563" s="1721"/>
      <c r="AE563" s="1462"/>
      <c r="AF563" s="1463"/>
      <c r="AG563" s="1463"/>
      <c r="AH563" s="1464"/>
      <c r="AI563" s="1700"/>
      <c r="AJ563" s="1701"/>
      <c r="AK563" s="1701"/>
      <c r="AL563" s="1702"/>
      <c r="AM563" s="1416"/>
      <c r="AN563" s="1417"/>
      <c r="AO563" s="1417"/>
      <c r="AP563" s="1417"/>
      <c r="AQ563" s="1417"/>
      <c r="AR563" s="1417"/>
      <c r="AS563" s="1418"/>
      <c r="AT563" s="1148" t="str">
        <f t="shared" si="0"/>
        <v/>
      </c>
      <c r="BB563" s="3"/>
      <c r="BC563" s="3"/>
      <c r="BD563" s="3"/>
      <c r="BE563" s="3"/>
      <c r="BF563" s="3"/>
      <c r="BG563" s="3"/>
      <c r="BH563" s="3"/>
      <c r="BI563" s="3"/>
    </row>
    <row r="564" spans="1:61" ht="12.95" customHeight="1">
      <c r="B564" s="52" t="s">
        <v>361</v>
      </c>
      <c r="C564" s="1722"/>
      <c r="D564" s="1722"/>
      <c r="E564" s="1722"/>
      <c r="F564" s="1722"/>
      <c r="G564" s="1722"/>
      <c r="H564" s="1722"/>
      <c r="I564" s="1722"/>
      <c r="J564" s="1722"/>
      <c r="K564" s="1722"/>
      <c r="L564" s="1722"/>
      <c r="M564" s="1453" t="s">
        <v>1182</v>
      </c>
      <c r="N564" s="1453"/>
      <c r="O564" s="1453"/>
      <c r="P564" s="1453"/>
      <c r="Q564" s="1718"/>
      <c r="R564" s="1719"/>
      <c r="S564" s="1720"/>
      <c r="T564" s="1718"/>
      <c r="U564" s="1719"/>
      <c r="V564" s="1720"/>
      <c r="W564" s="1465"/>
      <c r="X564" s="1466"/>
      <c r="Y564" s="1467"/>
      <c r="Z564" s="1721" t="s">
        <v>1182</v>
      </c>
      <c r="AA564" s="1721"/>
      <c r="AB564" s="1721"/>
      <c r="AC564" s="1721"/>
      <c r="AD564" s="1721"/>
      <c r="AE564" s="1462"/>
      <c r="AF564" s="1463"/>
      <c r="AG564" s="1463"/>
      <c r="AH564" s="1464"/>
      <c r="AI564" s="1700"/>
      <c r="AJ564" s="1701"/>
      <c r="AK564" s="1701"/>
      <c r="AL564" s="1702"/>
      <c r="AM564" s="1416"/>
      <c r="AN564" s="1417"/>
      <c r="AO564" s="1417"/>
      <c r="AP564" s="1417"/>
      <c r="AQ564" s="1417"/>
      <c r="AR564" s="1417"/>
      <c r="AS564" s="1418"/>
      <c r="AT564" s="1148" t="str">
        <f t="shared" si="0"/>
        <v/>
      </c>
      <c r="BB564" s="3"/>
      <c r="BC564" s="3"/>
      <c r="BD564" s="3"/>
      <c r="BE564" s="3"/>
      <c r="BF564" s="3"/>
      <c r="BG564" s="3"/>
      <c r="BH564" s="3"/>
      <c r="BI564" s="3"/>
    </row>
    <row r="565" spans="1:61" ht="12.95" customHeight="1">
      <c r="B565" s="52" t="s">
        <v>362</v>
      </c>
      <c r="C565" s="1722"/>
      <c r="D565" s="1722"/>
      <c r="E565" s="1722"/>
      <c r="F565" s="1722"/>
      <c r="G565" s="1722"/>
      <c r="H565" s="1722"/>
      <c r="I565" s="1722"/>
      <c r="J565" s="1722"/>
      <c r="K565" s="1722"/>
      <c r="L565" s="1722"/>
      <c r="M565" s="1453" t="s">
        <v>1182</v>
      </c>
      <c r="N565" s="1453"/>
      <c r="O565" s="1453"/>
      <c r="P565" s="1453"/>
      <c r="Q565" s="1718"/>
      <c r="R565" s="1719"/>
      <c r="S565" s="1720"/>
      <c r="T565" s="1718"/>
      <c r="U565" s="1719"/>
      <c r="V565" s="1720"/>
      <c r="W565" s="1465"/>
      <c r="X565" s="1466"/>
      <c r="Y565" s="1467"/>
      <c r="Z565" s="1721" t="s">
        <v>1182</v>
      </c>
      <c r="AA565" s="1721"/>
      <c r="AB565" s="1721"/>
      <c r="AC565" s="1721"/>
      <c r="AD565" s="1721"/>
      <c r="AE565" s="1462"/>
      <c r="AF565" s="1463"/>
      <c r="AG565" s="1463"/>
      <c r="AH565" s="1464"/>
      <c r="AI565" s="1700"/>
      <c r="AJ565" s="1701"/>
      <c r="AK565" s="1701"/>
      <c r="AL565" s="1702"/>
      <c r="AM565" s="1416"/>
      <c r="AN565" s="1417"/>
      <c r="AO565" s="1417"/>
      <c r="AP565" s="1417"/>
      <c r="AQ565" s="1417"/>
      <c r="AR565" s="1417"/>
      <c r="AS565" s="1418"/>
      <c r="AT565" s="1148" t="str">
        <f t="shared" si="0"/>
        <v/>
      </c>
      <c r="BB565" s="3"/>
      <c r="BC565" s="3"/>
      <c r="BD565" s="3"/>
      <c r="BE565" s="3"/>
      <c r="BF565" s="3"/>
      <c r="BG565" s="3"/>
      <c r="BH565" s="3"/>
      <c r="BI565" s="3"/>
    </row>
    <row r="566" spans="1:61" ht="12.95" customHeight="1">
      <c r="B566" s="1608" t="s">
        <v>127</v>
      </c>
      <c r="C566" s="1609"/>
      <c r="D566" s="1609"/>
      <c r="E566" s="1609"/>
      <c r="F566" s="1609"/>
      <c r="G566" s="1609"/>
      <c r="H566" s="1609"/>
      <c r="I566" s="1609"/>
      <c r="J566" s="1609"/>
      <c r="K566" s="1609"/>
      <c r="L566" s="1609"/>
      <c r="M566" s="1609"/>
      <c r="N566" s="1609"/>
      <c r="O566" s="1609"/>
      <c r="P566" s="1609"/>
      <c r="Q566" s="1609"/>
      <c r="R566" s="1609"/>
      <c r="S566" s="1609"/>
      <c r="T566" s="1609"/>
      <c r="U566" s="1494"/>
      <c r="V566" s="1609"/>
      <c r="W566" s="1609"/>
      <c r="X566" s="1609"/>
      <c r="Y566" s="1609"/>
      <c r="Z566" s="1609"/>
      <c r="AA566" s="1609"/>
      <c r="AB566" s="1609"/>
      <c r="AC566" s="1609"/>
      <c r="AD566" s="1609"/>
      <c r="AE566" s="1609"/>
      <c r="AF566" s="1609"/>
      <c r="AG566" s="1609"/>
      <c r="AH566" s="1609"/>
      <c r="AI566" s="1609"/>
      <c r="AJ566" s="1609"/>
      <c r="AK566" s="1609"/>
      <c r="AL566" s="1610"/>
      <c r="AM566" s="1642">
        <f>SUM(AM554:AS565)</f>
        <v>58945214</v>
      </c>
      <c r="AN566" s="1643"/>
      <c r="AO566" s="1643"/>
      <c r="AP566" s="1643"/>
      <c r="AQ566" s="1643"/>
      <c r="AR566" s="1643"/>
      <c r="AS566" s="1644"/>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0" t="str">
        <f>C554</f>
        <v>Citibank - Tax-Exempt Loan</v>
      </c>
      <c r="H568" s="1350"/>
      <c r="I568" s="1350"/>
      <c r="J568" s="1350"/>
      <c r="K568" s="1350"/>
      <c r="L568" s="1350"/>
      <c r="M568" s="1350"/>
      <c r="N568" s="1350"/>
      <c r="O568" s="1350"/>
      <c r="P568" s="1350"/>
      <c r="Q568" s="1350"/>
      <c r="R568" s="1350"/>
      <c r="S568" s="8"/>
      <c r="T568" s="55" t="s">
        <v>113</v>
      </c>
      <c r="U568" t="s">
        <v>462</v>
      </c>
      <c r="Z568" s="1350" t="str">
        <f>C555</f>
        <v>Citibank - Taxable Loan</v>
      </c>
      <c r="AA568" s="1350"/>
      <c r="AB568" s="1350"/>
      <c r="AC568" s="1350"/>
      <c r="AD568" s="1350"/>
      <c r="AE568" s="1350"/>
      <c r="AF568" s="1350"/>
      <c r="AG568" s="1350"/>
      <c r="AH568" s="1350"/>
      <c r="AI568" s="1350"/>
      <c r="AJ568" s="1350"/>
      <c r="AK568" s="1350"/>
      <c r="BB568" s="3"/>
      <c r="BC568" s="3"/>
      <c r="BD568" s="3"/>
      <c r="BE568" s="3"/>
      <c r="BF568" s="3"/>
      <c r="BG568" s="3"/>
      <c r="BH568" s="3"/>
      <c r="BI568" s="3"/>
    </row>
    <row r="569" spans="1:61" ht="12.95" customHeight="1">
      <c r="A569" s="22"/>
      <c r="B569" t="s">
        <v>85</v>
      </c>
      <c r="G569" s="1355" t="s">
        <v>2727</v>
      </c>
      <c r="H569" s="1355"/>
      <c r="I569" s="1355"/>
      <c r="J569" s="1355"/>
      <c r="K569" s="1355"/>
      <c r="L569" s="1355"/>
      <c r="M569" s="1355"/>
      <c r="N569" s="1355"/>
      <c r="O569" s="1355"/>
      <c r="P569" s="1355"/>
      <c r="Q569" s="1355"/>
      <c r="R569" s="1355"/>
      <c r="S569" s="8"/>
      <c r="T569" s="22"/>
      <c r="U569" t="s">
        <v>85</v>
      </c>
      <c r="Z569" s="1355" t="s">
        <v>2727</v>
      </c>
      <c r="AA569" s="1355"/>
      <c r="AB569" s="1355"/>
      <c r="AC569" s="1355"/>
      <c r="AD569" s="1355"/>
      <c r="AE569" s="1355"/>
      <c r="AF569" s="1355"/>
      <c r="AG569" s="1355"/>
      <c r="AH569" s="1355"/>
      <c r="AI569" s="1355"/>
      <c r="AJ569" s="1355"/>
      <c r="AK569" s="1355"/>
      <c r="BB569" s="3"/>
      <c r="BC569" s="3"/>
      <c r="BD569" s="3"/>
      <c r="BE569" s="3"/>
      <c r="BF569" s="3"/>
      <c r="BG569" s="3"/>
      <c r="BH569" s="3"/>
      <c r="BI569" s="3"/>
    </row>
    <row r="570" spans="1:61" ht="12.95" customHeight="1">
      <c r="A570" s="22"/>
      <c r="B570" t="s">
        <v>579</v>
      </c>
      <c r="G570" s="1355" t="s">
        <v>493</v>
      </c>
      <c r="H570" s="1355"/>
      <c r="I570" s="1355"/>
      <c r="J570" s="1355"/>
      <c r="K570" s="1355"/>
      <c r="L570" s="1355"/>
      <c r="M570" s="1355"/>
      <c r="N570" s="1355"/>
      <c r="O570" s="1355"/>
      <c r="P570" s="1355"/>
      <c r="Q570" s="1355"/>
      <c r="R570" s="1355"/>
      <c r="T570" s="22"/>
      <c r="U570" t="s">
        <v>579</v>
      </c>
      <c r="Z570" s="1454" t="s">
        <v>493</v>
      </c>
      <c r="AA570" s="1454"/>
      <c r="AB570" s="1454"/>
      <c r="AC570" s="1454"/>
      <c r="AD570" s="1454"/>
      <c r="AE570" s="1454"/>
      <c r="AF570" s="1454"/>
      <c r="AG570" s="1454"/>
      <c r="AH570" s="1454"/>
      <c r="AI570" s="1454"/>
      <c r="AJ570" s="1454"/>
      <c r="AK570" s="1454"/>
      <c r="BB570" s="3"/>
      <c r="BC570" s="3"/>
      <c r="BD570" s="3"/>
      <c r="BE570" s="3"/>
      <c r="BF570" s="3"/>
      <c r="BG570" s="3"/>
      <c r="BH570" s="3"/>
      <c r="BI570" s="3"/>
    </row>
    <row r="571" spans="1:61" ht="12.95" customHeight="1">
      <c r="A571" s="22"/>
      <c r="B571" t="s">
        <v>17</v>
      </c>
      <c r="G571" s="1355" t="s">
        <v>2728</v>
      </c>
      <c r="H571" s="1355"/>
      <c r="I571" s="1355"/>
      <c r="J571" s="1355"/>
      <c r="K571" s="1355"/>
      <c r="L571" s="1355"/>
      <c r="M571" s="1355"/>
      <c r="N571" s="1355"/>
      <c r="O571" s="1355"/>
      <c r="P571" s="1355"/>
      <c r="Q571" s="1355"/>
      <c r="R571" s="1355"/>
      <c r="S571" s="8"/>
      <c r="T571" s="22"/>
      <c r="U571" t="s">
        <v>17</v>
      </c>
      <c r="Z571" s="1454" t="s">
        <v>2728</v>
      </c>
      <c r="AA571" s="1454"/>
      <c r="AB571" s="1454"/>
      <c r="AC571" s="1454"/>
      <c r="AD571" s="1454"/>
      <c r="AE571" s="1454"/>
      <c r="AF571" s="1454"/>
      <c r="AG571" s="1454"/>
      <c r="AH571" s="1454"/>
      <c r="AI571" s="1454"/>
      <c r="AJ571" s="1454"/>
      <c r="AK571" s="1454"/>
      <c r="BB571" s="3"/>
      <c r="BC571" s="3"/>
      <c r="BD571" s="3"/>
      <c r="BE571" s="3"/>
      <c r="BF571" s="3"/>
      <c r="BG571" s="3"/>
      <c r="BH571" s="3"/>
      <c r="BI571" s="3"/>
    </row>
    <row r="572" spans="1:61" ht="12.95" customHeight="1">
      <c r="A572" s="22"/>
      <c r="B572" t="s">
        <v>315</v>
      </c>
      <c r="G572" s="1420" t="s">
        <v>2729</v>
      </c>
      <c r="H572" s="1420"/>
      <c r="I572" s="1420"/>
      <c r="J572" s="1420"/>
      <c r="K572" s="1420"/>
      <c r="L572" s="1420"/>
      <c r="O572" s="33" t="s">
        <v>205</v>
      </c>
      <c r="P572" s="1354"/>
      <c r="Q572" s="1354"/>
      <c r="R572" s="1354"/>
      <c r="S572" s="10"/>
      <c r="T572" s="22"/>
      <c r="U572" t="s">
        <v>315</v>
      </c>
      <c r="Z572" s="1420" t="s">
        <v>2729</v>
      </c>
      <c r="AA572" s="1420"/>
      <c r="AB572" s="1420"/>
      <c r="AC572" s="1420"/>
      <c r="AD572" s="1420"/>
      <c r="AE572" s="1420"/>
      <c r="AH572" s="33" t="s">
        <v>205</v>
      </c>
      <c r="AI572" s="1354"/>
      <c r="AJ572" s="1354"/>
      <c r="AK572" s="1354"/>
      <c r="BB572" s="3"/>
      <c r="BC572" s="3"/>
      <c r="BD572" s="3"/>
      <c r="BE572" s="3"/>
      <c r="BF572" s="3"/>
      <c r="BG572" s="3"/>
      <c r="BH572" s="3"/>
      <c r="BI572" s="3"/>
    </row>
    <row r="573" spans="1:61" ht="12.95" customHeight="1">
      <c r="A573" s="22"/>
      <c r="B573" t="s">
        <v>18</v>
      </c>
      <c r="H573" s="1355" t="s">
        <v>2730</v>
      </c>
      <c r="I573" s="1355"/>
      <c r="J573" s="1355"/>
      <c r="K573" s="1355"/>
      <c r="L573" s="1355"/>
      <c r="M573" s="1355"/>
      <c r="N573" s="1355"/>
      <c r="O573" s="1355"/>
      <c r="P573" s="1355"/>
      <c r="Q573" s="1355"/>
      <c r="R573" s="1355"/>
      <c r="S573" s="8"/>
      <c r="T573" s="22"/>
      <c r="U573" t="s">
        <v>18</v>
      </c>
      <c r="AA573" s="1355" t="s">
        <v>2731</v>
      </c>
      <c r="AB573" s="1355"/>
      <c r="AC573" s="1355"/>
      <c r="AD573" s="1355"/>
      <c r="AE573" s="1355"/>
      <c r="AF573" s="1355"/>
      <c r="AG573" s="1355"/>
      <c r="AH573" s="1355"/>
      <c r="AI573" s="1355"/>
      <c r="AJ573" s="1355"/>
      <c r="AK573" s="1355"/>
      <c r="BB573" s="3"/>
      <c r="BC573" s="3"/>
      <c r="BD573" s="3"/>
      <c r="BE573" s="3"/>
      <c r="BF573" s="3"/>
      <c r="BG573" s="3"/>
      <c r="BH573" s="3"/>
      <c r="BI573" s="3"/>
    </row>
    <row r="574" spans="1:61" ht="12.95" customHeight="1">
      <c r="A574" s="22"/>
      <c r="B574" s="320" t="s">
        <v>1183</v>
      </c>
      <c r="H574" s="8"/>
      <c r="I574" s="8"/>
      <c r="J574" s="8"/>
      <c r="K574" s="8"/>
      <c r="L574" s="8"/>
      <c r="M574" s="1666"/>
      <c r="N574" s="1666"/>
      <c r="O574" s="1666"/>
      <c r="P574" s="1666"/>
      <c r="Q574" s="1666"/>
      <c r="R574" s="1666"/>
      <c r="S574" s="8"/>
      <c r="T574" s="22"/>
      <c r="U574" s="320" t="s">
        <v>1183</v>
      </c>
      <c r="AA574" s="8"/>
      <c r="AB574" s="8"/>
      <c r="AC574" s="8"/>
      <c r="AD574" s="8"/>
      <c r="AE574" s="8"/>
      <c r="AF574" s="1666"/>
      <c r="AG574" s="1666"/>
      <c r="AH574" s="1666"/>
      <c r="AI574" s="1666"/>
      <c r="AJ574" s="1666"/>
      <c r="AK574" s="1666"/>
      <c r="BB574" s="3"/>
      <c r="BC574" s="3"/>
      <c r="BD574" s="3"/>
      <c r="BE574" s="3"/>
      <c r="BF574" s="3"/>
      <c r="BG574" s="3"/>
      <c r="BH574" s="3"/>
      <c r="BI574" s="3"/>
    </row>
    <row r="575" spans="1:61" ht="12.95" customHeight="1">
      <c r="A575" s="22"/>
      <c r="B575" t="s">
        <v>20</v>
      </c>
      <c r="N575" s="1333" t="s">
        <v>544</v>
      </c>
      <c r="O575" s="1333"/>
      <c r="T575" s="22"/>
      <c r="U575" t="s">
        <v>20</v>
      </c>
      <c r="AG575" s="1333" t="s">
        <v>544</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0" t="str">
        <f>C556</f>
        <v>Citibank - Reissued Tax-Exempt Loan</v>
      </c>
      <c r="H577" s="1350"/>
      <c r="I577" s="1350"/>
      <c r="J577" s="1350"/>
      <c r="K577" s="1350"/>
      <c r="L577" s="1350"/>
      <c r="M577" s="1350"/>
      <c r="N577" s="1350"/>
      <c r="O577" s="1350"/>
      <c r="P577" s="1350"/>
      <c r="Q577" s="1350"/>
      <c r="R577" s="1350"/>
      <c r="T577" s="55" t="s">
        <v>580</v>
      </c>
      <c r="U577" t="s">
        <v>462</v>
      </c>
      <c r="Z577" s="1350" t="str">
        <f>C557</f>
        <v>Tax Credit Equity - Federal</v>
      </c>
      <c r="AA577" s="1350"/>
      <c r="AB577" s="1350"/>
      <c r="AC577" s="1350"/>
      <c r="AD577" s="1350"/>
      <c r="AE577" s="1350"/>
      <c r="AF577" s="1350"/>
      <c r="AG577" s="1350"/>
      <c r="AH577" s="1350"/>
      <c r="AI577" s="1350"/>
      <c r="AJ577" s="1350"/>
      <c r="AK577" s="1350"/>
      <c r="BB577" s="3"/>
      <c r="BC577" s="3"/>
    </row>
    <row r="578" spans="1:55" ht="12.95" customHeight="1">
      <c r="A578" s="22"/>
      <c r="B578" t="s">
        <v>85</v>
      </c>
      <c r="G578" s="1355" t="s">
        <v>2727</v>
      </c>
      <c r="H578" s="1355"/>
      <c r="I578" s="1355"/>
      <c r="J578" s="1355"/>
      <c r="K578" s="1355"/>
      <c r="L578" s="1355"/>
      <c r="M578" s="1355"/>
      <c r="N578" s="1355"/>
      <c r="O578" s="1355"/>
      <c r="P578" s="1355"/>
      <c r="Q578" s="1355"/>
      <c r="R578" s="1355"/>
      <c r="T578" s="22"/>
      <c r="U578" t="s">
        <v>85</v>
      </c>
      <c r="Z578" s="1355" t="s">
        <v>2673</v>
      </c>
      <c r="AA578" s="1355"/>
      <c r="AB578" s="1355"/>
      <c r="AC578" s="1355"/>
      <c r="AD578" s="1355"/>
      <c r="AE578" s="1355"/>
      <c r="AF578" s="1355"/>
      <c r="AG578" s="1355"/>
      <c r="AH578" s="1355"/>
      <c r="AI578" s="1355"/>
      <c r="AJ578" s="1355"/>
      <c r="AK578" s="1355"/>
      <c r="BB578" s="3"/>
      <c r="BC578" s="3"/>
    </row>
    <row r="579" spans="1:55" ht="12.95" customHeight="1">
      <c r="A579" s="22"/>
      <c r="B579" t="s">
        <v>579</v>
      </c>
      <c r="G579" s="1454" t="s">
        <v>493</v>
      </c>
      <c r="H579" s="1454"/>
      <c r="I579" s="1454"/>
      <c r="J579" s="1454"/>
      <c r="K579" s="1454"/>
      <c r="L579" s="1454"/>
      <c r="M579" s="1454"/>
      <c r="N579" s="1454"/>
      <c r="O579" s="1454"/>
      <c r="P579" s="1454"/>
      <c r="Q579" s="1454"/>
      <c r="R579" s="1454"/>
      <c r="T579" s="22"/>
      <c r="U579" t="s">
        <v>579</v>
      </c>
      <c r="Z579" s="1454" t="s">
        <v>2654</v>
      </c>
      <c r="AA579" s="1454"/>
      <c r="AB579" s="1454"/>
      <c r="AC579" s="1454"/>
      <c r="AD579" s="1454"/>
      <c r="AE579" s="1454"/>
      <c r="AF579" s="1454"/>
      <c r="AG579" s="1454"/>
      <c r="AH579" s="1454"/>
      <c r="AI579" s="1454"/>
      <c r="AJ579" s="1454"/>
      <c r="AK579" s="1454"/>
      <c r="BB579" s="3"/>
      <c r="BC579" s="3"/>
    </row>
    <row r="580" spans="1:55" ht="12.95" customHeight="1">
      <c r="A580" s="22"/>
      <c r="B580" t="s">
        <v>17</v>
      </c>
      <c r="G580" s="1454" t="s">
        <v>2728</v>
      </c>
      <c r="H580" s="1454"/>
      <c r="I580" s="1454"/>
      <c r="J580" s="1454"/>
      <c r="K580" s="1454"/>
      <c r="L580" s="1454"/>
      <c r="M580" s="1454"/>
      <c r="N580" s="1454"/>
      <c r="O580" s="1454"/>
      <c r="P580" s="1454"/>
      <c r="Q580" s="1454"/>
      <c r="R580" s="1454"/>
      <c r="T580" s="22"/>
      <c r="U580" t="s">
        <v>17</v>
      </c>
      <c r="Z580" s="1454" t="s">
        <v>2732</v>
      </c>
      <c r="AA580" s="1454"/>
      <c r="AB580" s="1454"/>
      <c r="AC580" s="1454"/>
      <c r="AD580" s="1454"/>
      <c r="AE580" s="1454"/>
      <c r="AF580" s="1454"/>
      <c r="AG580" s="1454"/>
      <c r="AH580" s="1454"/>
      <c r="AI580" s="1454"/>
      <c r="AJ580" s="1454"/>
      <c r="AK580" s="1454"/>
      <c r="BB580" s="3"/>
      <c r="BC580" s="3"/>
    </row>
    <row r="581" spans="1:55" ht="12.95" customHeight="1">
      <c r="A581" s="22"/>
      <c r="B581" t="s">
        <v>315</v>
      </c>
      <c r="G581" s="1420" t="s">
        <v>2729</v>
      </c>
      <c r="H581" s="1420"/>
      <c r="I581" s="1420"/>
      <c r="J581" s="1420"/>
      <c r="K581" s="1420"/>
      <c r="L581" s="1420"/>
      <c r="O581" s="33" t="s">
        <v>205</v>
      </c>
      <c r="P581" s="1354"/>
      <c r="Q581" s="1354"/>
      <c r="R581" s="1354"/>
      <c r="T581" s="22"/>
      <c r="U581" t="s">
        <v>315</v>
      </c>
      <c r="Z581" s="1420" t="s">
        <v>2733</v>
      </c>
      <c r="AA581" s="1420"/>
      <c r="AB581" s="1420"/>
      <c r="AC581" s="1420"/>
      <c r="AD581" s="1420"/>
      <c r="AE581" s="1420"/>
      <c r="AH581" s="33" t="s">
        <v>205</v>
      </c>
      <c r="AI581" s="1354"/>
      <c r="AJ581" s="1354"/>
      <c r="AK581" s="1354"/>
      <c r="BB581" s="3"/>
      <c r="BC581" s="3"/>
    </row>
    <row r="582" spans="1:55" ht="12.95" customHeight="1">
      <c r="A582" s="22"/>
      <c r="B582" t="s">
        <v>18</v>
      </c>
      <c r="H582" s="1355" t="s">
        <v>2730</v>
      </c>
      <c r="I582" s="1355"/>
      <c r="J582" s="1355"/>
      <c r="K582" s="1355"/>
      <c r="L582" s="1355"/>
      <c r="M582" s="1355"/>
      <c r="N582" s="1355"/>
      <c r="O582" s="1355"/>
      <c r="P582" s="1355"/>
      <c r="Q582" s="1355"/>
      <c r="R582" s="1355"/>
      <c r="T582" s="22"/>
      <c r="U582" t="s">
        <v>18</v>
      </c>
      <c r="AA582" s="1355" t="s">
        <v>2734</v>
      </c>
      <c r="AB582" s="1355"/>
      <c r="AC582" s="1355"/>
      <c r="AD582" s="1355"/>
      <c r="AE582" s="1355"/>
      <c r="AF582" s="1355"/>
      <c r="AG582" s="1355"/>
      <c r="AH582" s="1355"/>
      <c r="AI582" s="1355"/>
      <c r="AJ582" s="1355"/>
      <c r="AK582" s="1355"/>
      <c r="BB582" s="3"/>
      <c r="BC582" s="3"/>
    </row>
    <row r="583" spans="1:55" ht="12.95" customHeight="1">
      <c r="A583" s="22"/>
      <c r="B583" t="s">
        <v>20</v>
      </c>
      <c r="N583" s="1333" t="s">
        <v>544</v>
      </c>
      <c r="O583" s="1333"/>
      <c r="T583" s="22"/>
      <c r="U583" t="s">
        <v>20</v>
      </c>
      <c r="AG583" s="1333" t="s">
        <v>544</v>
      </c>
      <c r="AH583" s="1333"/>
      <c r="BB583" s="3"/>
      <c r="BC583" s="3"/>
    </row>
    <row r="584" spans="1:55" ht="12.95" customHeight="1">
      <c r="A584" s="22"/>
      <c r="T584" s="22"/>
      <c r="BB584" s="3"/>
      <c r="BC584" s="3"/>
    </row>
    <row r="585" spans="1:55" ht="12.95" customHeight="1">
      <c r="A585" s="55" t="s">
        <v>762</v>
      </c>
      <c r="B585" t="s">
        <v>462</v>
      </c>
      <c r="G585" s="1350" t="str">
        <f>C558</f>
        <v>Tax Credit Equity - State</v>
      </c>
      <c r="H585" s="1350"/>
      <c r="I585" s="1350"/>
      <c r="J585" s="1350"/>
      <c r="K585" s="1350"/>
      <c r="L585" s="1350"/>
      <c r="M585" s="1350"/>
      <c r="N585" s="1350"/>
      <c r="O585" s="1350"/>
      <c r="P585" s="1350"/>
      <c r="Q585" s="1350"/>
      <c r="R585" s="1350"/>
      <c r="T585" s="55" t="s">
        <v>583</v>
      </c>
      <c r="U585" t="s">
        <v>462</v>
      </c>
      <c r="Z585" s="1350" t="str">
        <f>C559</f>
        <v>Deferred Operating Reserve</v>
      </c>
      <c r="AA585" s="1350"/>
      <c r="AB585" s="1350"/>
      <c r="AC585" s="1350"/>
      <c r="AD585" s="1350"/>
      <c r="AE585" s="1350"/>
      <c r="AF585" s="1350"/>
      <c r="AG585" s="1350"/>
      <c r="AH585" s="1350"/>
      <c r="AI585" s="1350"/>
      <c r="AJ585" s="1350"/>
      <c r="AK585" s="1350"/>
      <c r="BB585" s="3"/>
      <c r="BC585" s="3"/>
    </row>
    <row r="586" spans="1:55" ht="12.95" customHeight="1">
      <c r="A586" s="22"/>
      <c r="B586" t="s">
        <v>85</v>
      </c>
      <c r="G586" s="1355" t="s">
        <v>2673</v>
      </c>
      <c r="H586" s="1355"/>
      <c r="I586" s="1355"/>
      <c r="J586" s="1355"/>
      <c r="K586" s="1355"/>
      <c r="L586" s="1355"/>
      <c r="M586" s="1355"/>
      <c r="N586" s="1355"/>
      <c r="O586" s="1355"/>
      <c r="P586" s="1355"/>
      <c r="Q586" s="1355"/>
      <c r="R586" s="1355"/>
      <c r="T586" s="22"/>
      <c r="U586" t="s">
        <v>85</v>
      </c>
      <c r="Z586" s="1355" t="s">
        <v>2735</v>
      </c>
      <c r="AA586" s="1355"/>
      <c r="AB586" s="1355"/>
      <c r="AC586" s="1355"/>
      <c r="AD586" s="1355"/>
      <c r="AE586" s="1355"/>
      <c r="AF586" s="1355"/>
      <c r="AG586" s="1355"/>
      <c r="AH586" s="1355"/>
      <c r="AI586" s="1355"/>
      <c r="AJ586" s="1355"/>
      <c r="AK586" s="1355"/>
      <c r="BB586" s="3"/>
      <c r="BC586" s="3"/>
    </row>
    <row r="587" spans="1:55" ht="12.95" customHeight="1">
      <c r="A587" s="22"/>
      <c r="B587" t="s">
        <v>579</v>
      </c>
      <c r="G587" s="1355" t="s">
        <v>2654</v>
      </c>
      <c r="H587" s="1355"/>
      <c r="I587" s="1355"/>
      <c r="J587" s="1355"/>
      <c r="K587" s="1355"/>
      <c r="L587" s="1355"/>
      <c r="M587" s="1355"/>
      <c r="N587" s="1355"/>
      <c r="O587" s="1355"/>
      <c r="P587" s="1355"/>
      <c r="Q587" s="1355"/>
      <c r="R587" s="1355"/>
      <c r="T587" s="22"/>
      <c r="U587" t="s">
        <v>579</v>
      </c>
      <c r="Z587" s="1454" t="s">
        <v>493</v>
      </c>
      <c r="AA587" s="1454"/>
      <c r="AB587" s="1454"/>
      <c r="AC587" s="1454"/>
      <c r="AD587" s="1454"/>
      <c r="AE587" s="1454"/>
      <c r="AF587" s="1454"/>
      <c r="AG587" s="1454"/>
      <c r="AH587" s="1454"/>
      <c r="AI587" s="1454"/>
      <c r="AJ587" s="1454"/>
      <c r="AK587" s="1454"/>
      <c r="BB587" s="3"/>
      <c r="BC587" s="3"/>
    </row>
    <row r="588" spans="1:55" ht="12.95" customHeight="1">
      <c r="A588" s="22"/>
      <c r="B588" t="s">
        <v>17</v>
      </c>
      <c r="G588" s="1355" t="s">
        <v>2732</v>
      </c>
      <c r="H588" s="1355"/>
      <c r="I588" s="1355"/>
      <c r="J588" s="1355"/>
      <c r="K588" s="1355"/>
      <c r="L588" s="1355"/>
      <c r="M588" s="1355"/>
      <c r="N588" s="1355"/>
      <c r="O588" s="1355"/>
      <c r="P588" s="1355"/>
      <c r="Q588" s="1355"/>
      <c r="R588" s="1355"/>
      <c r="T588" s="22"/>
      <c r="U588" t="s">
        <v>17</v>
      </c>
      <c r="Z588" s="1454" t="s">
        <v>2736</v>
      </c>
      <c r="AA588" s="1454"/>
      <c r="AB588" s="1454"/>
      <c r="AC588" s="1454"/>
      <c r="AD588" s="1454"/>
      <c r="AE588" s="1454"/>
      <c r="AF588" s="1454"/>
      <c r="AG588" s="1454"/>
      <c r="AH588" s="1454"/>
      <c r="AI588" s="1454"/>
      <c r="AJ588" s="1454"/>
      <c r="AK588" s="1454"/>
    </row>
    <row r="589" spans="1:55" ht="12.95" customHeight="1">
      <c r="A589" s="22"/>
      <c r="B589" t="s">
        <v>315</v>
      </c>
      <c r="G589" s="1420" t="s">
        <v>2733</v>
      </c>
      <c r="H589" s="1420"/>
      <c r="I589" s="1420"/>
      <c r="J589" s="1420"/>
      <c r="K589" s="1420"/>
      <c r="L589" s="1420"/>
      <c r="O589" s="33" t="s">
        <v>205</v>
      </c>
      <c r="P589" s="1354"/>
      <c r="Q589" s="1354"/>
      <c r="R589" s="1354"/>
      <c r="T589" s="22"/>
      <c r="U589" t="s">
        <v>315</v>
      </c>
      <c r="Z589" s="1420" t="s">
        <v>2641</v>
      </c>
      <c r="AA589" s="1420"/>
      <c r="AB589" s="1420"/>
      <c r="AC589" s="1420"/>
      <c r="AD589" s="1420"/>
      <c r="AE589" s="1420"/>
      <c r="AH589" s="33" t="s">
        <v>205</v>
      </c>
      <c r="AI589" s="1354">
        <v>106</v>
      </c>
      <c r="AJ589" s="1354"/>
      <c r="AK589" s="1354"/>
      <c r="AZ589" s="3"/>
      <c r="BA589" s="3"/>
      <c r="BB589" s="3"/>
      <c r="BC589" s="3"/>
    </row>
    <row r="590" spans="1:55" ht="12.95" customHeight="1">
      <c r="A590" s="22"/>
      <c r="B590" t="s">
        <v>18</v>
      </c>
      <c r="H590" s="1355" t="s">
        <v>2734</v>
      </c>
      <c r="I590" s="1355"/>
      <c r="J590" s="1355"/>
      <c r="K590" s="1355"/>
      <c r="L590" s="1355"/>
      <c r="M590" s="1355"/>
      <c r="N590" s="1355"/>
      <c r="O590" s="1355"/>
      <c r="P590" s="1355"/>
      <c r="Q590" s="1355"/>
      <c r="R590" s="1355"/>
      <c r="T590" s="22"/>
      <c r="U590" t="s">
        <v>18</v>
      </c>
      <c r="AA590" s="1355" t="s">
        <v>2724</v>
      </c>
      <c r="AB590" s="1355"/>
      <c r="AC590" s="1355"/>
      <c r="AD590" s="1355"/>
      <c r="AE590" s="1355"/>
      <c r="AF590" s="1355"/>
      <c r="AG590" s="1355"/>
      <c r="AH590" s="1355"/>
      <c r="AI590" s="1355"/>
      <c r="AJ590" s="1355"/>
      <c r="AK590" s="1355"/>
      <c r="AZ590" s="3"/>
      <c r="BA590" s="3"/>
      <c r="BB590" s="3"/>
      <c r="BC590" s="3"/>
    </row>
    <row r="591" spans="1:55" ht="12.95" customHeight="1">
      <c r="A591" s="22"/>
      <c r="B591" t="s">
        <v>20</v>
      </c>
      <c r="N591" s="1333" t="s">
        <v>544</v>
      </c>
      <c r="O591" s="1333"/>
      <c r="T591" s="22"/>
      <c r="U591" t="s">
        <v>20</v>
      </c>
      <c r="AG591" s="1333" t="s">
        <v>544</v>
      </c>
      <c r="AH591" s="1333"/>
      <c r="AZ591" s="3"/>
      <c r="BA591" s="3"/>
      <c r="BB591" s="3"/>
      <c r="BC591" s="3"/>
    </row>
    <row r="592" spans="1:55" ht="12.95" customHeight="1">
      <c r="A592" s="22"/>
      <c r="T592" s="22"/>
      <c r="AZ592" s="3"/>
      <c r="BA592" s="3"/>
      <c r="BB592" s="3"/>
      <c r="BC592" s="3"/>
    </row>
    <row r="593" spans="1:55" ht="12.95" customHeight="1">
      <c r="A593" s="55" t="s">
        <v>454</v>
      </c>
      <c r="B593" t="s">
        <v>462</v>
      </c>
      <c r="G593" s="1350" t="str">
        <f>C560</f>
        <v>Deferred Developer Fee &amp; Costs</v>
      </c>
      <c r="H593" s="1350"/>
      <c r="I593" s="1350"/>
      <c r="J593" s="1350"/>
      <c r="K593" s="1350"/>
      <c r="L593" s="1350"/>
      <c r="M593" s="1350"/>
      <c r="N593" s="1350"/>
      <c r="O593" s="1350"/>
      <c r="P593" s="1350"/>
      <c r="Q593" s="1350"/>
      <c r="R593" s="1350"/>
      <c r="T593" s="55" t="s">
        <v>455</v>
      </c>
      <c r="U593" t="s">
        <v>462</v>
      </c>
      <c r="Z593" s="1350">
        <f>C561</f>
        <v>0</v>
      </c>
      <c r="AA593" s="1350"/>
      <c r="AB593" s="1350"/>
      <c r="AC593" s="1350"/>
      <c r="AD593" s="1350"/>
      <c r="AE593" s="1350"/>
      <c r="AF593" s="1350"/>
      <c r="AG593" s="1350"/>
      <c r="AH593" s="1350"/>
      <c r="AI593" s="1350"/>
      <c r="AJ593" s="1350"/>
      <c r="AK593" s="1350"/>
      <c r="AZ593" s="3"/>
      <c r="BA593" s="3"/>
      <c r="BB593" s="3"/>
      <c r="BC593" s="3"/>
    </row>
    <row r="594" spans="1:55" s="4" customFormat="1" ht="12.95" customHeight="1">
      <c r="A594" s="22"/>
      <c r="B594" t="s">
        <v>85</v>
      </c>
      <c r="C594"/>
      <c r="D594"/>
      <c r="E594"/>
      <c r="F594"/>
      <c r="G594" s="1355" t="s">
        <v>2735</v>
      </c>
      <c r="H594" s="1355"/>
      <c r="I594" s="1355"/>
      <c r="J594" s="1355"/>
      <c r="K594" s="1355"/>
      <c r="L594" s="1355"/>
      <c r="M594" s="1355"/>
      <c r="N594" s="1355"/>
      <c r="O594" s="1355"/>
      <c r="P594" s="1355"/>
      <c r="Q594" s="1355"/>
      <c r="R594" s="1355"/>
      <c r="S594"/>
      <c r="T594" s="22"/>
      <c r="U594" t="s">
        <v>85</v>
      </c>
      <c r="V594"/>
      <c r="W594"/>
      <c r="X594"/>
      <c r="Y594"/>
      <c r="Z594" s="1355"/>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55" t="s">
        <v>493</v>
      </c>
      <c r="H595" s="1355"/>
      <c r="I595" s="1355"/>
      <c r="J595" s="1355"/>
      <c r="K595" s="1355"/>
      <c r="L595" s="1355"/>
      <c r="M595" s="1355"/>
      <c r="N595" s="1355"/>
      <c r="O595" s="1355"/>
      <c r="P595" s="1355"/>
      <c r="Q595" s="1355"/>
      <c r="R595" s="1355"/>
      <c r="S595"/>
      <c r="T595" s="22"/>
      <c r="U595" t="s">
        <v>579</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55" t="s">
        <v>2736</v>
      </c>
      <c r="H596" s="1355"/>
      <c r="I596" s="1355"/>
      <c r="J596" s="1355"/>
      <c r="K596" s="1355"/>
      <c r="L596" s="1355"/>
      <c r="M596" s="1355"/>
      <c r="N596" s="1355"/>
      <c r="O596" s="1355"/>
      <c r="P596" s="1355"/>
      <c r="Q596" s="1355"/>
      <c r="R596" s="1355"/>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20" t="s">
        <v>2641</v>
      </c>
      <c r="H597" s="1420"/>
      <c r="I597" s="1420"/>
      <c r="J597" s="1420"/>
      <c r="K597" s="1420"/>
      <c r="L597" s="1420"/>
      <c r="M597"/>
      <c r="N597"/>
      <c r="O597" s="33" t="s">
        <v>205</v>
      </c>
      <c r="P597" s="1354">
        <v>106</v>
      </c>
      <c r="Q597" s="1354"/>
      <c r="R597" s="1354"/>
      <c r="S597"/>
      <c r="T597" s="22"/>
      <c r="U597" t="s">
        <v>315</v>
      </c>
      <c r="V597"/>
      <c r="W597"/>
      <c r="X597"/>
      <c r="Y597"/>
      <c r="Z597" s="1420"/>
      <c r="AA597" s="1420"/>
      <c r="AB597" s="1420"/>
      <c r="AC597" s="1420"/>
      <c r="AD597" s="1420"/>
      <c r="AE597" s="1420"/>
      <c r="AF597"/>
      <c r="AG597"/>
      <c r="AH597" s="33" t="s">
        <v>205</v>
      </c>
      <c r="AI597" s="1354"/>
      <c r="AJ597" s="1354"/>
      <c r="AK597" s="135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55" t="s">
        <v>2737</v>
      </c>
      <c r="I598" s="1355"/>
      <c r="J598" s="1355"/>
      <c r="K598" s="1355"/>
      <c r="L598" s="1355"/>
      <c r="M598" s="1355"/>
      <c r="N598" s="1355"/>
      <c r="O598" s="1355"/>
      <c r="P598" s="1355"/>
      <c r="Q598" s="1355"/>
      <c r="R598" s="1355"/>
      <c r="S598"/>
      <c r="T598" s="22"/>
      <c r="U598" t="s">
        <v>18</v>
      </c>
      <c r="V598"/>
      <c r="W598"/>
      <c r="X598"/>
      <c r="Y598"/>
      <c r="Z598"/>
      <c r="AA598" s="1427"/>
      <c r="AB598" s="1355"/>
      <c r="AC598" s="1355"/>
      <c r="AD598" s="1355"/>
      <c r="AE598" s="1355"/>
      <c r="AF598" s="1355"/>
      <c r="AG598" s="1355"/>
      <c r="AH598" s="1355"/>
      <c r="AI598" s="1355"/>
      <c r="AJ598" s="1355"/>
      <c r="AK598" s="1355"/>
      <c r="AL598"/>
      <c r="AM598"/>
      <c r="AN598"/>
      <c r="AO598"/>
      <c r="AP598"/>
      <c r="AQ598"/>
      <c r="AR598"/>
      <c r="AS598"/>
      <c r="AT598"/>
      <c r="AU598"/>
      <c r="AV598"/>
      <c r="AW598"/>
      <c r="AX598"/>
      <c r="AY598"/>
      <c r="BB598" s="3"/>
      <c r="BC598" s="3"/>
    </row>
    <row r="599" spans="1:55" ht="12.95" customHeight="1">
      <c r="A599" s="22"/>
      <c r="B599" t="s">
        <v>20</v>
      </c>
      <c r="N599" s="1333" t="s">
        <v>544</v>
      </c>
      <c r="O599" s="1333"/>
      <c r="T599" s="22"/>
      <c r="U599" t="s">
        <v>20</v>
      </c>
      <c r="AG599" s="1333"/>
      <c r="AH599" s="1333"/>
      <c r="BB599" s="3"/>
      <c r="BC599" s="3"/>
    </row>
    <row r="600" spans="1:55" ht="12.95" customHeight="1">
      <c r="A600" s="22"/>
      <c r="T600" s="22"/>
      <c r="BB600" s="3"/>
      <c r="BC600" s="3"/>
    </row>
    <row r="601" spans="1:55" ht="12.95" customHeight="1">
      <c r="A601" s="55" t="s">
        <v>460</v>
      </c>
      <c r="B601" t="s">
        <v>462</v>
      </c>
      <c r="G601" s="1350">
        <f>C562</f>
        <v>0</v>
      </c>
      <c r="H601" s="1350"/>
      <c r="I601" s="1350"/>
      <c r="J601" s="1350"/>
      <c r="K601" s="1350"/>
      <c r="L601" s="1350"/>
      <c r="M601" s="1350"/>
      <c r="N601" s="1350"/>
      <c r="O601" s="1350"/>
      <c r="P601" s="1350"/>
      <c r="Q601" s="1350"/>
      <c r="R601" s="1350"/>
      <c r="T601" s="55" t="s">
        <v>645</v>
      </c>
      <c r="U601" t="s">
        <v>462</v>
      </c>
      <c r="Z601" s="1350">
        <f>C563</f>
        <v>0</v>
      </c>
      <c r="AA601" s="1350"/>
      <c r="AB601" s="1350"/>
      <c r="AC601" s="1350"/>
      <c r="AD601" s="1350"/>
      <c r="AE601" s="1350"/>
      <c r="AF601" s="1350"/>
      <c r="AG601" s="1350"/>
      <c r="AH601" s="1350"/>
      <c r="AI601" s="1350"/>
      <c r="AJ601" s="1350"/>
      <c r="AK601" s="1350"/>
      <c r="BB601" s="3"/>
      <c r="BC601" s="3"/>
    </row>
    <row r="602" spans="1:55" ht="12.95" customHeight="1">
      <c r="A602" s="22"/>
      <c r="B602" t="s">
        <v>85</v>
      </c>
      <c r="G602" s="1355"/>
      <c r="H602" s="1355"/>
      <c r="I602" s="1355"/>
      <c r="J602" s="1355"/>
      <c r="K602" s="1355"/>
      <c r="L602" s="1355"/>
      <c r="M602" s="1355"/>
      <c r="N602" s="1355"/>
      <c r="O602" s="1355"/>
      <c r="P602" s="1355"/>
      <c r="Q602" s="1355"/>
      <c r="R602" s="1355"/>
      <c r="T602" s="22"/>
      <c r="U602" t="s">
        <v>85</v>
      </c>
      <c r="Z602" s="1355"/>
      <c r="AA602" s="1355"/>
      <c r="AB602" s="1355"/>
      <c r="AC602" s="1355"/>
      <c r="AD602" s="1355"/>
      <c r="AE602" s="1355"/>
      <c r="AF602" s="1355"/>
      <c r="AG602" s="1355"/>
      <c r="AH602" s="1355"/>
      <c r="AI602" s="1355"/>
      <c r="AJ602" s="1355"/>
      <c r="AK602" s="1355"/>
      <c r="AZ602" s="3"/>
      <c r="BA602" s="3"/>
      <c r="BB602" s="3"/>
      <c r="BC602" s="3"/>
    </row>
    <row r="603" spans="1:55" ht="12.95" customHeight="1">
      <c r="A603" s="22"/>
      <c r="B603" t="s">
        <v>579</v>
      </c>
      <c r="G603" s="1355"/>
      <c r="H603" s="1355"/>
      <c r="I603" s="1355"/>
      <c r="J603" s="1355"/>
      <c r="K603" s="1355"/>
      <c r="L603" s="1355"/>
      <c r="M603" s="1355"/>
      <c r="N603" s="1355"/>
      <c r="O603" s="1355"/>
      <c r="P603" s="1355"/>
      <c r="Q603" s="1355"/>
      <c r="R603" s="1355"/>
      <c r="T603" s="22"/>
      <c r="U603" t="s">
        <v>579</v>
      </c>
      <c r="Z603" s="1454"/>
      <c r="AA603" s="1454"/>
      <c r="AB603" s="1454"/>
      <c r="AC603" s="1454"/>
      <c r="AD603" s="1454"/>
      <c r="AE603" s="1454"/>
      <c r="AF603" s="1454"/>
      <c r="AG603" s="1454"/>
      <c r="AH603" s="1454"/>
      <c r="AI603" s="1454"/>
      <c r="AJ603" s="1454"/>
      <c r="AK603" s="1454"/>
      <c r="AZ603" s="3"/>
      <c r="BA603" s="3"/>
      <c r="BB603" s="3"/>
      <c r="BC603" s="3"/>
    </row>
    <row r="604" spans="1:55" ht="12.95" customHeight="1">
      <c r="A604" s="22"/>
      <c r="B604" t="s">
        <v>17</v>
      </c>
      <c r="G604" s="1355"/>
      <c r="H604" s="1355"/>
      <c r="I604" s="1355"/>
      <c r="J604" s="1355"/>
      <c r="K604" s="1355"/>
      <c r="L604" s="1355"/>
      <c r="M604" s="1355"/>
      <c r="N604" s="1355"/>
      <c r="O604" s="1355"/>
      <c r="P604" s="1355"/>
      <c r="Q604" s="1355"/>
      <c r="R604" s="1355"/>
      <c r="T604" s="22"/>
      <c r="U604" t="s">
        <v>17</v>
      </c>
      <c r="Z604" s="1454"/>
      <c r="AA604" s="1454"/>
      <c r="AB604" s="1454"/>
      <c r="AC604" s="1454"/>
      <c r="AD604" s="1454"/>
      <c r="AE604" s="1454"/>
      <c r="AF604" s="1454"/>
      <c r="AG604" s="1454"/>
      <c r="AH604" s="1454"/>
      <c r="AI604" s="1454"/>
      <c r="AJ604" s="1454"/>
      <c r="AK604" s="1454"/>
      <c r="AZ604" s="3"/>
      <c r="BA604" s="3"/>
      <c r="BB604" s="3"/>
      <c r="BC604" s="3"/>
    </row>
    <row r="605" spans="1:55" s="4" customFormat="1" ht="12.95" customHeight="1">
      <c r="A605" s="22"/>
      <c r="B605" t="s">
        <v>315</v>
      </c>
      <c r="C605"/>
      <c r="D605"/>
      <c r="E605"/>
      <c r="F605"/>
      <c r="G605" s="1420"/>
      <c r="H605" s="1420"/>
      <c r="I605" s="1420"/>
      <c r="J605" s="1420"/>
      <c r="K605" s="1420"/>
      <c r="L605" s="1420"/>
      <c r="M605"/>
      <c r="N605"/>
      <c r="O605" s="33" t="s">
        <v>205</v>
      </c>
      <c r="P605" s="1354"/>
      <c r="Q605" s="1354"/>
      <c r="R605" s="1354"/>
      <c r="S605"/>
      <c r="T605" s="22"/>
      <c r="U605" t="s">
        <v>315</v>
      </c>
      <c r="V605"/>
      <c r="W605"/>
      <c r="X605"/>
      <c r="Y605"/>
      <c r="Z605" s="1420"/>
      <c r="AA605" s="1420"/>
      <c r="AB605" s="1420"/>
      <c r="AC605" s="1420"/>
      <c r="AD605" s="1420"/>
      <c r="AE605" s="1420"/>
      <c r="AF605"/>
      <c r="AG605"/>
      <c r="AH605" s="33" t="s">
        <v>205</v>
      </c>
      <c r="AI605" s="1354"/>
      <c r="AJ605" s="1354"/>
      <c r="AK605" s="135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55"/>
      <c r="I606" s="1355"/>
      <c r="J606" s="1355"/>
      <c r="K606" s="1355"/>
      <c r="L606" s="1355"/>
      <c r="M606" s="1355"/>
      <c r="N606" s="1355"/>
      <c r="O606" s="1355"/>
      <c r="P606" s="1355"/>
      <c r="Q606" s="1355"/>
      <c r="R606" s="1355"/>
      <c r="S606"/>
      <c r="T606" s="22"/>
      <c r="U606" t="s">
        <v>18</v>
      </c>
      <c r="V606"/>
      <c r="W606"/>
      <c r="X606"/>
      <c r="Y606"/>
      <c r="Z606"/>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668</v>
      </c>
      <c r="O607" s="1333"/>
      <c r="P607"/>
      <c r="Q607"/>
      <c r="R607"/>
      <c r="S607"/>
      <c r="T607" s="22"/>
      <c r="U607" t="s">
        <v>20</v>
      </c>
      <c r="V607"/>
      <c r="W607"/>
      <c r="X607"/>
      <c r="Y607"/>
      <c r="Z607"/>
      <c r="AA607"/>
      <c r="AB607"/>
      <c r="AC607"/>
      <c r="AD607"/>
      <c r="AE607"/>
      <c r="AF607"/>
      <c r="AG607" s="1333" t="s">
        <v>668</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350">
        <f>C564</f>
        <v>0</v>
      </c>
      <c r="H609" s="1350"/>
      <c r="I609" s="1350"/>
      <c r="J609" s="1350"/>
      <c r="K609" s="1350"/>
      <c r="L609" s="1350"/>
      <c r="M609" s="1350"/>
      <c r="N609" s="1350"/>
      <c r="O609" s="1350"/>
      <c r="P609" s="1350"/>
      <c r="Q609" s="1350"/>
      <c r="R609" s="1350"/>
      <c r="T609" s="55" t="s">
        <v>362</v>
      </c>
      <c r="U609" t="s">
        <v>462</v>
      </c>
      <c r="Z609" s="1350">
        <f>C565</f>
        <v>0</v>
      </c>
      <c r="AA609" s="1350"/>
      <c r="AB609" s="1350"/>
      <c r="AC609" s="1350"/>
      <c r="AD609" s="1350"/>
      <c r="AE609" s="1350"/>
      <c r="AF609" s="1350"/>
      <c r="AG609" s="1350"/>
      <c r="AH609" s="1350"/>
      <c r="AI609" s="1350"/>
      <c r="AJ609" s="1350"/>
      <c r="AK609" s="1350"/>
      <c r="AZ609" s="3"/>
      <c r="BA609" s="3"/>
      <c r="BB609" s="3"/>
      <c r="BC609" s="3"/>
    </row>
    <row r="610" spans="1:55" ht="12.95" customHeight="1">
      <c r="B610" t="s">
        <v>85</v>
      </c>
      <c r="G610" s="1355"/>
      <c r="H610" s="1355"/>
      <c r="I610" s="1355"/>
      <c r="J610" s="1355"/>
      <c r="K610" s="1355"/>
      <c r="L610" s="1355"/>
      <c r="M610" s="1355"/>
      <c r="N610" s="1355"/>
      <c r="O610" s="1355"/>
      <c r="P610" s="1355"/>
      <c r="Q610" s="1355"/>
      <c r="R610" s="1355"/>
      <c r="U610" t="s">
        <v>85</v>
      </c>
      <c r="Z610" s="1355"/>
      <c r="AA610" s="1355"/>
      <c r="AB610" s="1355"/>
      <c r="AC610" s="1355"/>
      <c r="AD610" s="1355"/>
      <c r="AE610" s="1355"/>
      <c r="AF610" s="1355"/>
      <c r="AG610" s="1355"/>
      <c r="AH610" s="1355"/>
      <c r="AI610" s="1355"/>
      <c r="AJ610" s="1355"/>
      <c r="AK610" s="1355"/>
      <c r="AZ610" s="3"/>
      <c r="BA610" s="3"/>
      <c r="BB610" s="3"/>
      <c r="BC610" s="3"/>
    </row>
    <row r="611" spans="1:55" ht="12.95" customHeight="1">
      <c r="B611" t="s">
        <v>579</v>
      </c>
      <c r="G611" s="1355"/>
      <c r="H611" s="1355"/>
      <c r="I611" s="1355"/>
      <c r="J611" s="1355"/>
      <c r="K611" s="1355"/>
      <c r="L611" s="1355"/>
      <c r="M611" s="1355"/>
      <c r="N611" s="1355"/>
      <c r="O611" s="1355"/>
      <c r="P611" s="1355"/>
      <c r="Q611" s="1355"/>
      <c r="R611" s="1355"/>
      <c r="U611" t="s">
        <v>579</v>
      </c>
      <c r="Z611" s="1454"/>
      <c r="AA611" s="1454"/>
      <c r="AB611" s="1454"/>
      <c r="AC611" s="1454"/>
      <c r="AD611" s="1454"/>
      <c r="AE611" s="1454"/>
      <c r="AF611" s="1454"/>
      <c r="AG611" s="1454"/>
      <c r="AH611" s="1454"/>
      <c r="AI611" s="1454"/>
      <c r="AJ611" s="1454"/>
      <c r="AK611" s="1454"/>
      <c r="AZ611" s="3"/>
      <c r="BA611" s="3"/>
      <c r="BB611" s="3"/>
      <c r="BC611" s="3"/>
    </row>
    <row r="612" spans="1:55" ht="12.95" customHeight="1">
      <c r="B612" t="s">
        <v>17</v>
      </c>
      <c r="G612" s="1355"/>
      <c r="H612" s="1355"/>
      <c r="I612" s="1355"/>
      <c r="J612" s="1355"/>
      <c r="K612" s="1355"/>
      <c r="L612" s="1355"/>
      <c r="M612" s="1355"/>
      <c r="N612" s="1355"/>
      <c r="O612" s="1355"/>
      <c r="P612" s="1355"/>
      <c r="Q612" s="1355"/>
      <c r="R612" s="1355"/>
      <c r="U612" t="s">
        <v>17</v>
      </c>
      <c r="Z612" s="1454"/>
      <c r="AA612" s="1454"/>
      <c r="AB612" s="1454"/>
      <c r="AC612" s="1454"/>
      <c r="AD612" s="1454"/>
      <c r="AE612" s="1454"/>
      <c r="AF612" s="1454"/>
      <c r="AG612" s="1454"/>
      <c r="AH612" s="1454"/>
      <c r="AI612" s="1454"/>
      <c r="AJ612" s="1454"/>
      <c r="AK612" s="1454"/>
      <c r="AZ612" s="3"/>
      <c r="BA612" s="3"/>
      <c r="BB612" s="3"/>
      <c r="BC612" s="3"/>
    </row>
    <row r="613" spans="1:55" ht="12.95" customHeight="1">
      <c r="B613" t="s">
        <v>315</v>
      </c>
      <c r="G613" s="1420"/>
      <c r="H613" s="1420"/>
      <c r="I613" s="1420"/>
      <c r="J613" s="1420"/>
      <c r="K613" s="1420"/>
      <c r="L613" s="1420"/>
      <c r="O613" s="33" t="s">
        <v>205</v>
      </c>
      <c r="P613" s="1354"/>
      <c r="Q613" s="1354"/>
      <c r="R613" s="1354"/>
      <c r="U613" t="s">
        <v>315</v>
      </c>
      <c r="Z613" s="1420"/>
      <c r="AA613" s="1420"/>
      <c r="AB613" s="1420"/>
      <c r="AC613" s="1420"/>
      <c r="AD613" s="1420"/>
      <c r="AE613" s="1420"/>
      <c r="AH613" s="33" t="s">
        <v>205</v>
      </c>
      <c r="AI613" s="1354"/>
      <c r="AJ613" s="1354"/>
      <c r="AK613" s="1354"/>
      <c r="AZ613" s="3"/>
      <c r="BA613" s="3"/>
      <c r="BB613" s="3"/>
      <c r="BC613" s="3"/>
    </row>
    <row r="614" spans="1:55" ht="12.95" customHeight="1">
      <c r="B614" t="s">
        <v>18</v>
      </c>
      <c r="H614" s="1355"/>
      <c r="I614" s="1355"/>
      <c r="J614" s="1355"/>
      <c r="K614" s="1355"/>
      <c r="L614" s="1355"/>
      <c r="M614" s="1355"/>
      <c r="N614" s="1355"/>
      <c r="O614" s="1355"/>
      <c r="P614" s="1355"/>
      <c r="Q614" s="1355"/>
      <c r="R614" s="1355"/>
      <c r="U614" t="s">
        <v>18</v>
      </c>
      <c r="AA614" s="1355"/>
      <c r="AB614" s="1355"/>
      <c r="AC614" s="1355"/>
      <c r="AD614" s="1355"/>
      <c r="AE614" s="1355"/>
      <c r="AF614" s="1355"/>
      <c r="AG614" s="1355"/>
      <c r="AH614" s="1355"/>
      <c r="AI614" s="1355"/>
      <c r="AJ614" s="1355"/>
      <c r="AK614" s="1355"/>
      <c r="AU614" s="899"/>
      <c r="AV614" s="899"/>
      <c r="AW614" s="899"/>
      <c r="AX614" s="899"/>
      <c r="AY614" s="899"/>
      <c r="AZ614" s="3"/>
      <c r="BA614" s="3"/>
      <c r="BB614" s="3"/>
      <c r="BC614" s="3"/>
    </row>
    <row r="615" spans="1:55" ht="12.95" customHeight="1">
      <c r="B615" t="s">
        <v>20</v>
      </c>
      <c r="N615" s="1333" t="s">
        <v>668</v>
      </c>
      <c r="O615" s="1333"/>
      <c r="U615" t="s">
        <v>20</v>
      </c>
      <c r="AG615" s="1333" t="s">
        <v>668</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543</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13" t="s">
        <v>2101</v>
      </c>
      <c r="C624" s="1713"/>
      <c r="D624" s="1713"/>
      <c r="E624" s="1713"/>
      <c r="F624" s="1713"/>
      <c r="G624" s="1713"/>
      <c r="H624" s="1713"/>
      <c r="I624" s="1713"/>
      <c r="J624" s="1713"/>
      <c r="K624" s="1713"/>
      <c r="L624" s="1713"/>
      <c r="M624" s="1461" t="s">
        <v>2102</v>
      </c>
      <c r="N624" s="1461"/>
      <c r="O624" s="1461"/>
      <c r="P624" s="1461"/>
      <c r="Q624" s="1461" t="s">
        <v>1851</v>
      </c>
      <c r="R624" s="1461"/>
      <c r="S624" s="1461"/>
      <c r="T624" s="1461" t="s">
        <v>1849</v>
      </c>
      <c r="U624" s="1461"/>
      <c r="V624" s="1461"/>
      <c r="W624" s="1714" t="s">
        <v>452</v>
      </c>
      <c r="X624" s="1714"/>
      <c r="Y624" s="1714"/>
      <c r="Z624" s="1444" t="s">
        <v>2131</v>
      </c>
      <c r="AA624" s="1444"/>
      <c r="AB624" s="1445"/>
      <c r="AC624" s="1704" t="s">
        <v>1674</v>
      </c>
      <c r="AD624" s="1705"/>
      <c r="AE624" s="1706"/>
      <c r="AF624" s="1715" t="s">
        <v>1929</v>
      </c>
      <c r="AG624" s="1444"/>
      <c r="AH624" s="1444"/>
      <c r="AI624" s="1444"/>
      <c r="AJ624" s="1445"/>
      <c r="AK624" s="1691" t="s">
        <v>1930</v>
      </c>
      <c r="AL624" s="1692"/>
      <c r="AM624" s="1692"/>
      <c r="AN624" s="1693"/>
      <c r="AO624" s="1461" t="s">
        <v>453</v>
      </c>
      <c r="AP624" s="1461"/>
      <c r="AQ624" s="1461"/>
      <c r="AR624" s="1461"/>
      <c r="AS624" s="1461"/>
      <c r="AU624" s="3"/>
      <c r="AZ624" s="3"/>
      <c r="BA624" s="3"/>
      <c r="BB624" s="3"/>
      <c r="BC624" s="3"/>
    </row>
    <row r="625" spans="2:157" ht="12.95" customHeight="1">
      <c r="B625" s="1713"/>
      <c r="C625" s="1713"/>
      <c r="D625" s="1713"/>
      <c r="E625" s="1713"/>
      <c r="F625" s="1713"/>
      <c r="G625" s="1713"/>
      <c r="H625" s="1713"/>
      <c r="I625" s="1713"/>
      <c r="J625" s="1713"/>
      <c r="K625" s="1713"/>
      <c r="L625" s="1713"/>
      <c r="M625" s="1461"/>
      <c r="N625" s="1461"/>
      <c r="O625" s="1461"/>
      <c r="P625" s="1461"/>
      <c r="Q625" s="1461"/>
      <c r="R625" s="1461"/>
      <c r="S625" s="1461"/>
      <c r="T625" s="1461"/>
      <c r="U625" s="1461"/>
      <c r="V625" s="1461"/>
      <c r="W625" s="1714"/>
      <c r="X625" s="1714"/>
      <c r="Y625" s="1714"/>
      <c r="Z625" s="1446"/>
      <c r="AA625" s="1446"/>
      <c r="AB625" s="1447"/>
      <c r="AC625" s="1707"/>
      <c r="AD625" s="1708"/>
      <c r="AE625" s="1709"/>
      <c r="AF625" s="1716"/>
      <c r="AG625" s="1446"/>
      <c r="AH625" s="1446"/>
      <c r="AI625" s="1446"/>
      <c r="AJ625" s="1447"/>
      <c r="AK625" s="1694"/>
      <c r="AL625" s="1695"/>
      <c r="AM625" s="1695"/>
      <c r="AN625" s="1696"/>
      <c r="AO625" s="1461"/>
      <c r="AP625" s="1461"/>
      <c r="AQ625" s="1461"/>
      <c r="AR625" s="1461"/>
      <c r="AS625" s="1461"/>
      <c r="AU625" s="3"/>
      <c r="AZ625" s="3"/>
      <c r="BA625" s="3"/>
      <c r="BB625" s="3"/>
      <c r="BC625" s="3"/>
      <c r="BD625" s="3"/>
    </row>
    <row r="626" spans="2:157" ht="12.95" customHeight="1">
      <c r="B626" s="1713"/>
      <c r="C626" s="1713"/>
      <c r="D626" s="1713"/>
      <c r="E626" s="1713"/>
      <c r="F626" s="1713"/>
      <c r="G626" s="1713"/>
      <c r="H626" s="1713"/>
      <c r="I626" s="1713"/>
      <c r="J626" s="1713"/>
      <c r="K626" s="1713"/>
      <c r="L626" s="1713"/>
      <c r="M626" s="1461"/>
      <c r="N626" s="1461"/>
      <c r="O626" s="1461"/>
      <c r="P626" s="1461"/>
      <c r="Q626" s="1461"/>
      <c r="R626" s="1461"/>
      <c r="S626" s="1461"/>
      <c r="T626" s="1461"/>
      <c r="U626" s="1461"/>
      <c r="V626" s="1461"/>
      <c r="W626" s="1714"/>
      <c r="X626" s="1714"/>
      <c r="Y626" s="1714"/>
      <c r="Z626" s="1448"/>
      <c r="AA626" s="1448"/>
      <c r="AB626" s="1449"/>
      <c r="AC626" s="1710"/>
      <c r="AD626" s="1711"/>
      <c r="AE626" s="1712"/>
      <c r="AF626" s="1717"/>
      <c r="AG626" s="1448"/>
      <c r="AH626" s="1448"/>
      <c r="AI626" s="1448"/>
      <c r="AJ626" s="1449"/>
      <c r="AK626" s="1697"/>
      <c r="AL626" s="1698"/>
      <c r="AM626" s="1698"/>
      <c r="AN626" s="1699"/>
      <c r="AO626" s="1461"/>
      <c r="AP626" s="1461"/>
      <c r="AQ626" s="1461"/>
      <c r="AR626" s="1461"/>
      <c r="AS626" s="1461"/>
      <c r="AT626" s="3"/>
      <c r="AU626" s="3"/>
      <c r="AZ626" s="3"/>
      <c r="BA626" s="3"/>
      <c r="BB626" s="3"/>
      <c r="BC626" s="3"/>
      <c r="BD626" s="3"/>
    </row>
    <row r="627" spans="2:157" ht="12.95" customHeight="1">
      <c r="B627" s="51" t="s">
        <v>112</v>
      </c>
      <c r="C627" s="1419" t="s">
        <v>2726</v>
      </c>
      <c r="D627" s="1419"/>
      <c r="E627" s="1419"/>
      <c r="F627" s="1419"/>
      <c r="G627" s="1419"/>
      <c r="H627" s="1419"/>
      <c r="I627" s="1419"/>
      <c r="J627" s="1419"/>
      <c r="K627" s="1419"/>
      <c r="L627" s="1419"/>
      <c r="M627" s="1434" t="s">
        <v>2118</v>
      </c>
      <c r="N627" s="1434"/>
      <c r="O627" s="1434"/>
      <c r="P627" s="1434"/>
      <c r="Q627" s="1439">
        <v>480</v>
      </c>
      <c r="R627" s="1439"/>
      <c r="S627" s="1440"/>
      <c r="T627" s="1438">
        <f>Q627</f>
        <v>480</v>
      </c>
      <c r="U627" s="1439"/>
      <c r="V627" s="1440"/>
      <c r="W627" s="1450">
        <v>6.2399999999999997E-2</v>
      </c>
      <c r="X627" s="1451"/>
      <c r="Y627" s="1452"/>
      <c r="Z627" s="1489" t="s">
        <v>2130</v>
      </c>
      <c r="AA627" s="1490"/>
      <c r="AB627" s="1491"/>
      <c r="AC627" s="1457">
        <v>1</v>
      </c>
      <c r="AD627" s="1458"/>
      <c r="AE627" s="1459"/>
      <c r="AF627" s="1486">
        <v>1569233.3011839385</v>
      </c>
      <c r="AG627" s="1487"/>
      <c r="AH627" s="1487"/>
      <c r="AI627" s="1487"/>
      <c r="AJ627" s="1488"/>
      <c r="AK627" s="1441"/>
      <c r="AL627" s="1442"/>
      <c r="AM627" s="1442"/>
      <c r="AN627" s="1443"/>
      <c r="AO627" s="1492">
        <v>23061978</v>
      </c>
      <c r="AP627" s="1492"/>
      <c r="AQ627" s="1492"/>
      <c r="AR627" s="1492"/>
      <c r="AS627" s="1492"/>
      <c r="AT627" s="3"/>
      <c r="AU627" s="3"/>
      <c r="AZ627" s="3"/>
      <c r="BA627" s="3"/>
      <c r="BB627" s="3"/>
      <c r="BC627" s="3"/>
      <c r="BD627" s="3"/>
    </row>
    <row r="628" spans="2:157" ht="12.95" customHeight="1">
      <c r="B628" s="52" t="s">
        <v>113</v>
      </c>
      <c r="C628" s="1419" t="s">
        <v>2320</v>
      </c>
      <c r="D628" s="1419"/>
      <c r="E628" s="1419"/>
      <c r="F628" s="1419"/>
      <c r="G628" s="1419"/>
      <c r="H628" s="1419"/>
      <c r="I628" s="1419"/>
      <c r="J628" s="1419"/>
      <c r="K628" s="1419"/>
      <c r="L628" s="1419"/>
      <c r="M628" s="1434" t="s">
        <v>2105</v>
      </c>
      <c r="N628" s="1434"/>
      <c r="O628" s="1434"/>
      <c r="P628" s="1434"/>
      <c r="Q628" s="1438"/>
      <c r="R628" s="1439"/>
      <c r="S628" s="1440"/>
      <c r="T628" s="1438"/>
      <c r="U628" s="1439"/>
      <c r="V628" s="1440"/>
      <c r="W628" s="1450"/>
      <c r="X628" s="1451"/>
      <c r="Y628" s="1452"/>
      <c r="Z628" s="1489" t="s">
        <v>457</v>
      </c>
      <c r="AA628" s="1490"/>
      <c r="AB628" s="1491"/>
      <c r="AC628" s="1457"/>
      <c r="AD628" s="1458"/>
      <c r="AE628" s="1459"/>
      <c r="AF628" s="1486"/>
      <c r="AG628" s="1487"/>
      <c r="AH628" s="1487"/>
      <c r="AI628" s="1487"/>
      <c r="AJ628" s="1488"/>
      <c r="AK628" s="1441"/>
      <c r="AL628" s="1442"/>
      <c r="AM628" s="1442"/>
      <c r="AN628" s="1443"/>
      <c r="AO628" s="1477">
        <v>4104391</v>
      </c>
      <c r="AP628" s="1478"/>
      <c r="AQ628" s="1478"/>
      <c r="AR628" s="1478"/>
      <c r="AS628" s="1479"/>
      <c r="AT628" s="1148" t="str">
        <f>IF(AND(NOT(C627=""),C628="",NOT(C629="")),"!","")</f>
        <v/>
      </c>
      <c r="AU628" s="3"/>
      <c r="AZ628" s="3"/>
      <c r="BA628" s="3"/>
      <c r="BB628" s="3"/>
      <c r="BC628" s="3"/>
      <c r="BD628" s="3"/>
    </row>
    <row r="629" spans="2:157" ht="12.95" customHeight="1">
      <c r="B629" s="52" t="s">
        <v>119</v>
      </c>
      <c r="C629" s="1419"/>
      <c r="D629" s="1419"/>
      <c r="E629" s="1419"/>
      <c r="F629" s="1419"/>
      <c r="G629" s="1419"/>
      <c r="H629" s="1419"/>
      <c r="I629" s="1419"/>
      <c r="J629" s="1419"/>
      <c r="K629" s="1419"/>
      <c r="L629" s="1419"/>
      <c r="M629" s="1434" t="s">
        <v>1182</v>
      </c>
      <c r="N629" s="1434"/>
      <c r="O629" s="1434"/>
      <c r="P629" s="1434"/>
      <c r="Q629" s="1438"/>
      <c r="R629" s="1439"/>
      <c r="S629" s="1440"/>
      <c r="T629" s="1438"/>
      <c r="U629" s="1439"/>
      <c r="V629" s="1440"/>
      <c r="W629" s="1450"/>
      <c r="X629" s="1451"/>
      <c r="Y629" s="1452"/>
      <c r="Z629" s="1489" t="s">
        <v>1182</v>
      </c>
      <c r="AA629" s="1490"/>
      <c r="AB629" s="1491"/>
      <c r="AC629" s="1457"/>
      <c r="AD629" s="1458"/>
      <c r="AE629" s="1459"/>
      <c r="AF629" s="1486"/>
      <c r="AG629" s="1487"/>
      <c r="AH629" s="1487"/>
      <c r="AI629" s="1487"/>
      <c r="AJ629" s="1488"/>
      <c r="AK629" s="1441"/>
      <c r="AL629" s="1442"/>
      <c r="AM629" s="1442"/>
      <c r="AN629" s="1443"/>
      <c r="AO629" s="1477"/>
      <c r="AP629" s="1478"/>
      <c r="AQ629" s="1478"/>
      <c r="AR629" s="1478"/>
      <c r="AS629" s="1479"/>
      <c r="AT629" s="1148" t="str">
        <f t="shared" ref="AT629:AT638" si="1">IF(AND(NOT(C628=""),C629="",NOT(C630="")),"!","")</f>
        <v/>
      </c>
      <c r="AU629" s="3"/>
      <c r="AZ629" s="3"/>
      <c r="BA629" s="3"/>
      <c r="BB629" s="3"/>
      <c r="BC629" s="3"/>
      <c r="BD629" s="3"/>
    </row>
    <row r="630" spans="2:157" ht="12.95" customHeight="1">
      <c r="B630" s="52" t="s">
        <v>580</v>
      </c>
      <c r="C630" s="1435"/>
      <c r="D630" s="1435"/>
      <c r="E630" s="1435"/>
      <c r="F630" s="1435"/>
      <c r="G630" s="1435"/>
      <c r="H630" s="1435"/>
      <c r="I630" s="1435"/>
      <c r="J630" s="1435"/>
      <c r="K630" s="1435"/>
      <c r="L630" s="1435"/>
      <c r="M630" s="1434" t="s">
        <v>1182</v>
      </c>
      <c r="N630" s="1434"/>
      <c r="O630" s="1434"/>
      <c r="P630" s="1434"/>
      <c r="Q630" s="1438"/>
      <c r="R630" s="1439"/>
      <c r="S630" s="1440"/>
      <c r="T630" s="1438"/>
      <c r="U630" s="1439"/>
      <c r="V630" s="1440"/>
      <c r="W630" s="1450"/>
      <c r="X630" s="1451"/>
      <c r="Y630" s="1452"/>
      <c r="Z630" s="1489" t="s">
        <v>1182</v>
      </c>
      <c r="AA630" s="1490"/>
      <c r="AB630" s="1491"/>
      <c r="AC630" s="1457"/>
      <c r="AD630" s="1458"/>
      <c r="AE630" s="1459"/>
      <c r="AF630" s="1486"/>
      <c r="AG630" s="1487"/>
      <c r="AH630" s="1487"/>
      <c r="AI630" s="1487"/>
      <c r="AJ630" s="1488"/>
      <c r="AK630" s="1441"/>
      <c r="AL630" s="1442"/>
      <c r="AM630" s="1442"/>
      <c r="AN630" s="1443"/>
      <c r="AO630" s="1477"/>
      <c r="AP630" s="1478"/>
      <c r="AQ630" s="1478"/>
      <c r="AR630" s="1478"/>
      <c r="AS630" s="1479"/>
      <c r="AT630" s="1148" t="str">
        <f t="shared" si="1"/>
        <v/>
      </c>
      <c r="AU630" s="3"/>
      <c r="AZ630" s="3"/>
      <c r="BA630" s="3"/>
      <c r="BB630" s="3"/>
      <c r="BC630" s="3"/>
      <c r="BD630" s="3"/>
    </row>
    <row r="631" spans="2:157" ht="12.95" customHeight="1">
      <c r="B631" s="52" t="s">
        <v>762</v>
      </c>
      <c r="C631" s="1435"/>
      <c r="D631" s="1435"/>
      <c r="E631" s="1435"/>
      <c r="F631" s="1435"/>
      <c r="G631" s="1435"/>
      <c r="H631" s="1435"/>
      <c r="I631" s="1435"/>
      <c r="J631" s="1435"/>
      <c r="K631" s="1435"/>
      <c r="L631" s="1435"/>
      <c r="M631" s="1434" t="s">
        <v>1182</v>
      </c>
      <c r="N631" s="1434"/>
      <c r="O631" s="1434"/>
      <c r="P631" s="1434"/>
      <c r="Q631" s="1438"/>
      <c r="R631" s="1439"/>
      <c r="S631" s="1440"/>
      <c r="T631" s="1438"/>
      <c r="U631" s="1439"/>
      <c r="V631" s="1440"/>
      <c r="W631" s="1450"/>
      <c r="X631" s="1451"/>
      <c r="Y631" s="1452"/>
      <c r="Z631" s="1489" t="s">
        <v>1182</v>
      </c>
      <c r="AA631" s="1490"/>
      <c r="AB631" s="1491"/>
      <c r="AC631" s="1457"/>
      <c r="AD631" s="1458"/>
      <c r="AE631" s="1459"/>
      <c r="AF631" s="1486"/>
      <c r="AG631" s="1487"/>
      <c r="AH631" s="1487"/>
      <c r="AI631" s="1487"/>
      <c r="AJ631" s="1488"/>
      <c r="AK631" s="1441"/>
      <c r="AL631" s="1442"/>
      <c r="AM631" s="1442"/>
      <c r="AN631" s="1443"/>
      <c r="AO631" s="1477"/>
      <c r="AP631" s="1478"/>
      <c r="AQ631" s="1478"/>
      <c r="AR631" s="1478"/>
      <c r="AS631" s="1479"/>
      <c r="AT631" s="1148" t="str">
        <f t="shared" si="1"/>
        <v/>
      </c>
      <c r="AU631" s="3"/>
      <c r="AZ631" s="3"/>
      <c r="BA631" s="3"/>
      <c r="BB631" s="3"/>
      <c r="BC631" s="3"/>
      <c r="BD631" s="3"/>
    </row>
    <row r="632" spans="2:157" ht="12.95" customHeight="1">
      <c r="B632" s="52" t="s">
        <v>583</v>
      </c>
      <c r="C632" s="1435"/>
      <c r="D632" s="1435"/>
      <c r="E632" s="1435"/>
      <c r="F632" s="1435"/>
      <c r="G632" s="1435"/>
      <c r="H632" s="1435"/>
      <c r="I632" s="1435"/>
      <c r="J632" s="1435"/>
      <c r="K632" s="1435"/>
      <c r="L632" s="1435"/>
      <c r="M632" s="1434" t="s">
        <v>1182</v>
      </c>
      <c r="N632" s="1434"/>
      <c r="O632" s="1434"/>
      <c r="P632" s="1434"/>
      <c r="Q632" s="1438"/>
      <c r="R632" s="1439"/>
      <c r="S632" s="1440"/>
      <c r="T632" s="1438"/>
      <c r="U632" s="1439"/>
      <c r="V632" s="1440"/>
      <c r="W632" s="1450"/>
      <c r="X632" s="1451"/>
      <c r="Y632" s="1452"/>
      <c r="Z632" s="1489" t="s">
        <v>1182</v>
      </c>
      <c r="AA632" s="1490"/>
      <c r="AB632" s="1491"/>
      <c r="AC632" s="1457"/>
      <c r="AD632" s="1458"/>
      <c r="AE632" s="1459"/>
      <c r="AF632" s="1486"/>
      <c r="AG632" s="1487"/>
      <c r="AH632" s="1487"/>
      <c r="AI632" s="1487"/>
      <c r="AJ632" s="1488"/>
      <c r="AK632" s="1441"/>
      <c r="AL632" s="1442"/>
      <c r="AM632" s="1442"/>
      <c r="AN632" s="1443"/>
      <c r="AO632" s="1477"/>
      <c r="AP632" s="1478"/>
      <c r="AQ632" s="1478"/>
      <c r="AR632" s="1478"/>
      <c r="AS632" s="1479"/>
      <c r="AT632" s="1148" t="str">
        <f t="shared" si="1"/>
        <v/>
      </c>
      <c r="AU632" s="3"/>
      <c r="AZ632" s="3"/>
      <c r="BA632" s="3"/>
      <c r="BB632" s="3"/>
      <c r="BC632" s="3"/>
      <c r="BD632" s="3"/>
    </row>
    <row r="633" spans="2:157" ht="12.95" customHeight="1">
      <c r="B633" s="52" t="s">
        <v>454</v>
      </c>
      <c r="C633" s="1435"/>
      <c r="D633" s="1435"/>
      <c r="E633" s="1435"/>
      <c r="F633" s="1435"/>
      <c r="G633" s="1435"/>
      <c r="H633" s="1435"/>
      <c r="I633" s="1435"/>
      <c r="J633" s="1435"/>
      <c r="K633" s="1435"/>
      <c r="L633" s="1435"/>
      <c r="M633" s="1434" t="s">
        <v>1182</v>
      </c>
      <c r="N633" s="1434"/>
      <c r="O633" s="1434"/>
      <c r="P633" s="1434"/>
      <c r="Q633" s="1438"/>
      <c r="R633" s="1439"/>
      <c r="S633" s="1440"/>
      <c r="T633" s="1438"/>
      <c r="U633" s="1439"/>
      <c r="V633" s="1440"/>
      <c r="W633" s="1450"/>
      <c r="X633" s="1451"/>
      <c r="Y633" s="1452"/>
      <c r="Z633" s="1489" t="s">
        <v>1182</v>
      </c>
      <c r="AA633" s="1490"/>
      <c r="AB633" s="1491"/>
      <c r="AC633" s="1457"/>
      <c r="AD633" s="1458"/>
      <c r="AE633" s="1459"/>
      <c r="AF633" s="1486"/>
      <c r="AG633" s="1487"/>
      <c r="AH633" s="1487"/>
      <c r="AI633" s="1487"/>
      <c r="AJ633" s="1488"/>
      <c r="AK633" s="1441"/>
      <c r="AL633" s="1442"/>
      <c r="AM633" s="1442"/>
      <c r="AN633" s="1443"/>
      <c r="AO633" s="1477"/>
      <c r="AP633" s="1478"/>
      <c r="AQ633" s="1478"/>
      <c r="AR633" s="1478"/>
      <c r="AS633" s="1479"/>
      <c r="AT633" s="1148" t="str">
        <f t="shared" si="1"/>
        <v/>
      </c>
      <c r="AU633" s="3"/>
      <c r="AV633" s="3"/>
      <c r="AW633" s="3"/>
      <c r="AX633" s="3"/>
      <c r="AY633" s="3"/>
      <c r="AZ633" s="3"/>
      <c r="BA633" s="3"/>
      <c r="BB633" s="3"/>
      <c r="BC633" s="3"/>
      <c r="BD633" s="3"/>
    </row>
    <row r="634" spans="2:157" ht="12.95" customHeight="1">
      <c r="B634" s="52" t="s">
        <v>455</v>
      </c>
      <c r="C634" s="1435"/>
      <c r="D634" s="1435"/>
      <c r="E634" s="1435"/>
      <c r="F634" s="1435"/>
      <c r="G634" s="1435"/>
      <c r="H634" s="1435"/>
      <c r="I634" s="1435"/>
      <c r="J634" s="1435"/>
      <c r="K634" s="1435"/>
      <c r="L634" s="1435"/>
      <c r="M634" s="1434" t="s">
        <v>1182</v>
      </c>
      <c r="N634" s="1434"/>
      <c r="O634" s="1434"/>
      <c r="P634" s="1434"/>
      <c r="Q634" s="1438"/>
      <c r="R634" s="1439"/>
      <c r="S634" s="1440"/>
      <c r="T634" s="1438"/>
      <c r="U634" s="1439"/>
      <c r="V634" s="1440"/>
      <c r="W634" s="1450"/>
      <c r="X634" s="1451"/>
      <c r="Y634" s="1452"/>
      <c r="Z634" s="1489" t="s">
        <v>1182</v>
      </c>
      <c r="AA634" s="1490"/>
      <c r="AB634" s="1491"/>
      <c r="AC634" s="1457"/>
      <c r="AD634" s="1458"/>
      <c r="AE634" s="1459"/>
      <c r="AF634" s="1486"/>
      <c r="AG634" s="1487"/>
      <c r="AH634" s="1487"/>
      <c r="AI634" s="1487"/>
      <c r="AJ634" s="1488"/>
      <c r="AK634" s="1441"/>
      <c r="AL634" s="1442"/>
      <c r="AM634" s="1442"/>
      <c r="AN634" s="1443"/>
      <c r="AO634" s="1477"/>
      <c r="AP634" s="1478"/>
      <c r="AQ634" s="1478"/>
      <c r="AR634" s="1478"/>
      <c r="AS634" s="1479"/>
      <c r="AT634" s="1148" t="str">
        <f t="shared" si="1"/>
        <v/>
      </c>
      <c r="AU634" s="3"/>
      <c r="AV634" s="3"/>
      <c r="AW634" s="3"/>
      <c r="AX634" s="3"/>
      <c r="AY634" s="3"/>
      <c r="AZ634" s="3"/>
      <c r="BA634" s="3" t="s">
        <v>1182</v>
      </c>
      <c r="BB634" s="3"/>
      <c r="BC634" s="3"/>
      <c r="BD634" s="3"/>
    </row>
    <row r="635" spans="2:157" ht="12.95" customHeight="1">
      <c r="B635" s="52" t="s">
        <v>460</v>
      </c>
      <c r="C635" s="1435"/>
      <c r="D635" s="1435"/>
      <c r="E635" s="1435"/>
      <c r="F635" s="1435"/>
      <c r="G635" s="1435"/>
      <c r="H635" s="1435"/>
      <c r="I635" s="1435"/>
      <c r="J635" s="1435"/>
      <c r="K635" s="1435"/>
      <c r="L635" s="1435"/>
      <c r="M635" s="1434" t="s">
        <v>1182</v>
      </c>
      <c r="N635" s="1434"/>
      <c r="O635" s="1434"/>
      <c r="P635" s="1434"/>
      <c r="Q635" s="1438"/>
      <c r="R635" s="1439"/>
      <c r="S635" s="1440"/>
      <c r="T635" s="1438"/>
      <c r="U635" s="1439"/>
      <c r="V635" s="1440"/>
      <c r="W635" s="1450"/>
      <c r="X635" s="1451"/>
      <c r="Y635" s="1452"/>
      <c r="Z635" s="1489" t="s">
        <v>1182</v>
      </c>
      <c r="AA635" s="1490"/>
      <c r="AB635" s="1491"/>
      <c r="AC635" s="1457"/>
      <c r="AD635" s="1458"/>
      <c r="AE635" s="1459"/>
      <c r="AF635" s="1486"/>
      <c r="AG635" s="1487"/>
      <c r="AH635" s="1487"/>
      <c r="AI635" s="1487"/>
      <c r="AJ635" s="1488"/>
      <c r="AK635" s="1441"/>
      <c r="AL635" s="1442"/>
      <c r="AM635" s="1442"/>
      <c r="AN635" s="1443"/>
      <c r="AO635" s="1477"/>
      <c r="AP635" s="1478"/>
      <c r="AQ635" s="1478"/>
      <c r="AR635" s="1478"/>
      <c r="AS635" s="147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1">
        <f t="shared" ref="DX635:DX669" si="2">EZ718*(CP718/$CP$753)</f>
        <v>764</v>
      </c>
      <c r="DY635" s="1471"/>
      <c r="DZ635" s="1471"/>
      <c r="EA635" s="1471"/>
      <c r="EB635" s="1471"/>
      <c r="EC635" s="1471" t="e">
        <f t="shared" ref="EC635:EC669" si="3">FE718*(CU718/$CU$753)</f>
        <v>#VALUE!</v>
      </c>
      <c r="ED635" s="1471"/>
      <c r="EE635" s="1471"/>
      <c r="EF635" s="1471"/>
      <c r="EG635" s="1471"/>
      <c r="EH635" s="1471" t="e">
        <f t="shared" ref="EH635:EH669" si="4">FJ718*(CZ718/$CZ$753)</f>
        <v>#VALUE!</v>
      </c>
      <c r="EI635" s="1471"/>
      <c r="EJ635" s="1471"/>
      <c r="EK635" s="1471"/>
      <c r="EL635" s="1471"/>
      <c r="EM635" s="1471" t="e">
        <f t="shared" ref="EM635:EM669" si="5">FO718*(DE718/$DE$753)</f>
        <v>#VALUE!</v>
      </c>
      <c r="EN635" s="1471"/>
      <c r="EO635" s="1471"/>
      <c r="EP635" s="1471"/>
      <c r="EQ635" s="1471"/>
      <c r="ER635" s="1471" t="e">
        <f t="shared" ref="ER635:ER669" si="6">FT718*(DJ718/$DJ$753)</f>
        <v>#VALUE!</v>
      </c>
      <c r="ES635" s="1471"/>
      <c r="ET635" s="1471"/>
      <c r="EU635" s="1471"/>
      <c r="EV635" s="1471"/>
      <c r="EW635" s="1471" t="e">
        <f t="shared" ref="EW635:EW669" si="7">FY718*(DO718/$DO$753)</f>
        <v>#VALUE!</v>
      </c>
      <c r="EX635" s="1471"/>
      <c r="EY635" s="1471"/>
      <c r="EZ635" s="1471"/>
      <c r="FA635" s="1471"/>
    </row>
    <row r="636" spans="2:157" ht="12.95" customHeight="1">
      <c r="B636" s="52" t="s">
        <v>645</v>
      </c>
      <c r="C636" s="1435"/>
      <c r="D636" s="1435"/>
      <c r="E636" s="1435"/>
      <c r="F636" s="1435"/>
      <c r="G636" s="1435"/>
      <c r="H636" s="1435"/>
      <c r="I636" s="1435"/>
      <c r="J636" s="1435"/>
      <c r="K636" s="1435"/>
      <c r="L636" s="1435"/>
      <c r="M636" s="1434" t="s">
        <v>1182</v>
      </c>
      <c r="N636" s="1434"/>
      <c r="O636" s="1434"/>
      <c r="P636" s="1434"/>
      <c r="Q636" s="1438"/>
      <c r="R636" s="1439"/>
      <c r="S636" s="1440"/>
      <c r="T636" s="1438"/>
      <c r="U636" s="1439"/>
      <c r="V636" s="1440"/>
      <c r="W636" s="1450"/>
      <c r="X636" s="1451"/>
      <c r="Y636" s="1452"/>
      <c r="Z636" s="1489" t="s">
        <v>1182</v>
      </c>
      <c r="AA636" s="1490"/>
      <c r="AB636" s="1491"/>
      <c r="AC636" s="1457"/>
      <c r="AD636" s="1458"/>
      <c r="AE636" s="1459"/>
      <c r="AF636" s="1486"/>
      <c r="AG636" s="1487"/>
      <c r="AH636" s="1487"/>
      <c r="AI636" s="1487"/>
      <c r="AJ636" s="1488"/>
      <c r="AK636" s="1441"/>
      <c r="AL636" s="1442"/>
      <c r="AM636" s="1442"/>
      <c r="AN636" s="1443"/>
      <c r="AO636" s="1477"/>
      <c r="AP636" s="1478"/>
      <c r="AQ636" s="1478"/>
      <c r="AR636" s="1478"/>
      <c r="AS636" s="147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71" t="e">
        <f t="shared" si="2"/>
        <v>#VALUE!</v>
      </c>
      <c r="DY636" s="1471"/>
      <c r="DZ636" s="1471"/>
      <c r="EA636" s="1471"/>
      <c r="EB636" s="1471"/>
      <c r="EC636" s="1471">
        <f t="shared" si="3"/>
        <v>314.61111111111114</v>
      </c>
      <c r="ED636" s="1471"/>
      <c r="EE636" s="1471"/>
      <c r="EF636" s="1471"/>
      <c r="EG636" s="1471"/>
      <c r="EH636" s="1471" t="e">
        <f t="shared" si="4"/>
        <v>#VALUE!</v>
      </c>
      <c r="EI636" s="1471"/>
      <c r="EJ636" s="1471"/>
      <c r="EK636" s="1471"/>
      <c r="EL636" s="1471"/>
      <c r="EM636" s="1471" t="e">
        <f t="shared" si="5"/>
        <v>#VALUE!</v>
      </c>
      <c r="EN636" s="1471"/>
      <c r="EO636" s="1471"/>
      <c r="EP636" s="1471"/>
      <c r="EQ636" s="1471"/>
      <c r="ER636" s="1471" t="e">
        <f t="shared" si="6"/>
        <v>#VALUE!</v>
      </c>
      <c r="ES636" s="1471"/>
      <c r="ET636" s="1471"/>
      <c r="EU636" s="1471"/>
      <c r="EV636" s="1471"/>
      <c r="EW636" s="1471" t="e">
        <f t="shared" si="7"/>
        <v>#VALUE!</v>
      </c>
      <c r="EX636" s="1471"/>
      <c r="EY636" s="1471"/>
      <c r="EZ636" s="1471"/>
      <c r="FA636" s="1471"/>
    </row>
    <row r="637" spans="2:157" ht="12.95" customHeight="1">
      <c r="B637" s="52" t="s">
        <v>361</v>
      </c>
      <c r="C637" s="1435"/>
      <c r="D637" s="1435"/>
      <c r="E637" s="1435"/>
      <c r="F637" s="1435"/>
      <c r="G637" s="1435"/>
      <c r="H637" s="1435"/>
      <c r="I637" s="1435"/>
      <c r="J637" s="1435"/>
      <c r="K637" s="1435"/>
      <c r="L637" s="1435"/>
      <c r="M637" s="1434" t="s">
        <v>1182</v>
      </c>
      <c r="N637" s="1434"/>
      <c r="O637" s="1434"/>
      <c r="P637" s="1434"/>
      <c r="Q637" s="1438"/>
      <c r="R637" s="1439"/>
      <c r="S637" s="1440"/>
      <c r="T637" s="1438"/>
      <c r="U637" s="1439"/>
      <c r="V637" s="1440"/>
      <c r="W637" s="1450"/>
      <c r="X637" s="1451"/>
      <c r="Y637" s="1452"/>
      <c r="Z637" s="1489" t="s">
        <v>1182</v>
      </c>
      <c r="AA637" s="1490"/>
      <c r="AB637" s="1491"/>
      <c r="AC637" s="1457"/>
      <c r="AD637" s="1458"/>
      <c r="AE637" s="1459"/>
      <c r="AF637" s="1486"/>
      <c r="AG637" s="1487"/>
      <c r="AH637" s="1487"/>
      <c r="AI637" s="1487"/>
      <c r="AJ637" s="1488"/>
      <c r="AK637" s="1441"/>
      <c r="AL637" s="1442"/>
      <c r="AM637" s="1442"/>
      <c r="AN637" s="1443"/>
      <c r="AO637" s="1477"/>
      <c r="AP637" s="1478"/>
      <c r="AQ637" s="1478"/>
      <c r="AR637" s="1478"/>
      <c r="AS637" s="1479"/>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71" t="e">
        <f t="shared" si="2"/>
        <v>#VALUE!</v>
      </c>
      <c r="DY637" s="1471"/>
      <c r="DZ637" s="1471"/>
      <c r="EA637" s="1471"/>
      <c r="EB637" s="1471"/>
      <c r="EC637" s="1471">
        <f t="shared" si="3"/>
        <v>153</v>
      </c>
      <c r="ED637" s="1471"/>
      <c r="EE637" s="1471"/>
      <c r="EF637" s="1471"/>
      <c r="EG637" s="1471"/>
      <c r="EH637" s="1471" t="e">
        <f t="shared" si="4"/>
        <v>#VALUE!</v>
      </c>
      <c r="EI637" s="1471"/>
      <c r="EJ637" s="1471"/>
      <c r="EK637" s="1471"/>
      <c r="EL637" s="1471"/>
      <c r="EM637" s="1471" t="e">
        <f t="shared" si="5"/>
        <v>#VALUE!</v>
      </c>
      <c r="EN637" s="1471"/>
      <c r="EO637" s="1471"/>
      <c r="EP637" s="1471"/>
      <c r="EQ637" s="1471"/>
      <c r="ER637" s="1471" t="e">
        <f t="shared" si="6"/>
        <v>#VALUE!</v>
      </c>
      <c r="ES637" s="1471"/>
      <c r="ET637" s="1471"/>
      <c r="EU637" s="1471"/>
      <c r="EV637" s="1471"/>
      <c r="EW637" s="1471" t="e">
        <f t="shared" si="7"/>
        <v>#VALUE!</v>
      </c>
      <c r="EX637" s="1471"/>
      <c r="EY637" s="1471"/>
      <c r="EZ637" s="1471"/>
      <c r="FA637" s="1471"/>
    </row>
    <row r="638" spans="2:157" ht="12.95" customHeight="1">
      <c r="B638" s="52" t="s">
        <v>362</v>
      </c>
      <c r="C638" s="1435"/>
      <c r="D638" s="1435"/>
      <c r="E638" s="1435"/>
      <c r="F638" s="1435"/>
      <c r="G638" s="1435"/>
      <c r="H638" s="1435"/>
      <c r="I638" s="1435"/>
      <c r="J638" s="1435"/>
      <c r="K638" s="1435"/>
      <c r="L638" s="1435"/>
      <c r="M638" s="1434" t="s">
        <v>1182</v>
      </c>
      <c r="N638" s="1434"/>
      <c r="O638" s="1434"/>
      <c r="P638" s="1434"/>
      <c r="Q638" s="1438"/>
      <c r="R638" s="1439"/>
      <c r="S638" s="1440"/>
      <c r="T638" s="1438"/>
      <c r="U638" s="1439"/>
      <c r="V638" s="1440"/>
      <c r="W638" s="1450"/>
      <c r="X638" s="1451"/>
      <c r="Y638" s="1452"/>
      <c r="Z638" s="1489" t="s">
        <v>1182</v>
      </c>
      <c r="AA638" s="1490"/>
      <c r="AB638" s="1491"/>
      <c r="AC638" s="1457"/>
      <c r="AD638" s="1458"/>
      <c r="AE638" s="1459"/>
      <c r="AF638" s="1486"/>
      <c r="AG638" s="1487"/>
      <c r="AH638" s="1487"/>
      <c r="AI638" s="1487"/>
      <c r="AJ638" s="1488"/>
      <c r="AK638" s="1441"/>
      <c r="AL638" s="1442"/>
      <c r="AM638" s="1442"/>
      <c r="AN638" s="1443"/>
      <c r="AO638" s="1477"/>
      <c r="AP638" s="1478"/>
      <c r="AQ638" s="1478"/>
      <c r="AR638" s="1478"/>
      <c r="AS638" s="147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71" t="e">
        <f t="shared" si="2"/>
        <v>#VALUE!</v>
      </c>
      <c r="DY638" s="1471"/>
      <c r="DZ638" s="1471"/>
      <c r="EA638" s="1471"/>
      <c r="EB638" s="1471"/>
      <c r="EC638" s="1471">
        <f t="shared" si="3"/>
        <v>830.5</v>
      </c>
      <c r="ED638" s="1471"/>
      <c r="EE638" s="1471"/>
      <c r="EF638" s="1471"/>
      <c r="EG638" s="1471"/>
      <c r="EH638" s="1471" t="e">
        <f t="shared" si="4"/>
        <v>#VALUE!</v>
      </c>
      <c r="EI638" s="1471"/>
      <c r="EJ638" s="1471"/>
      <c r="EK638" s="1471"/>
      <c r="EL638" s="1471"/>
      <c r="EM638" s="1471" t="e">
        <f t="shared" si="5"/>
        <v>#VALUE!</v>
      </c>
      <c r="EN638" s="1471"/>
      <c r="EO638" s="1471"/>
      <c r="EP638" s="1471"/>
      <c r="EQ638" s="1471"/>
      <c r="ER638" s="1471" t="e">
        <f t="shared" si="6"/>
        <v>#VALUE!</v>
      </c>
      <c r="ES638" s="1471"/>
      <c r="ET638" s="1471"/>
      <c r="EU638" s="1471"/>
      <c r="EV638" s="1471"/>
      <c r="EW638" s="1471" t="e">
        <f t="shared" si="7"/>
        <v>#VALUE!</v>
      </c>
      <c r="EX638" s="1471"/>
      <c r="EY638" s="1471"/>
      <c r="EZ638" s="1471"/>
      <c r="FA638" s="1471"/>
    </row>
    <row r="639" spans="2:157" ht="12.95" customHeight="1">
      <c r="B639" s="1608" t="s">
        <v>128</v>
      </c>
      <c r="C639" s="1609"/>
      <c r="D639" s="1609"/>
      <c r="E639" s="1609"/>
      <c r="F639" s="1609"/>
      <c r="G639" s="1609"/>
      <c r="H639" s="1609"/>
      <c r="I639" s="1609"/>
      <c r="J639" s="1609"/>
      <c r="K639" s="1609"/>
      <c r="L639" s="1609"/>
      <c r="M639" s="1609"/>
      <c r="N639" s="1609"/>
      <c r="O639" s="1609"/>
      <c r="P639" s="1609"/>
      <c r="Q639" s="1609"/>
      <c r="R639" s="1609"/>
      <c r="S639" s="1609"/>
      <c r="T639" s="1609"/>
      <c r="U639" s="1609"/>
      <c r="V639" s="1609"/>
      <c r="W639" s="1609"/>
      <c r="X639" s="1609"/>
      <c r="Y639" s="1609"/>
      <c r="Z639" s="1609"/>
      <c r="AA639" s="1609"/>
      <c r="AB639" s="1609"/>
      <c r="AC639" s="1609"/>
      <c r="AD639" s="1609"/>
      <c r="AE639" s="1609"/>
      <c r="AF639" s="1609"/>
      <c r="AG639" s="1609"/>
      <c r="AH639" s="1609"/>
      <c r="AI639" s="1609"/>
      <c r="AJ639" s="1609"/>
      <c r="AK639" s="1609"/>
      <c r="AL639" s="1609"/>
      <c r="AM639" s="1609"/>
      <c r="AN639" s="1610"/>
      <c r="AO639" s="1642">
        <f>SUM(AO627:AR638)</f>
        <v>27166369</v>
      </c>
      <c r="AP639" s="1643"/>
      <c r="AQ639" s="1643"/>
      <c r="AR639" s="1643"/>
      <c r="AS639" s="164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71" t="e">
        <f t="shared" si="2"/>
        <v>#VALUE!</v>
      </c>
      <c r="DY639" s="1471"/>
      <c r="DZ639" s="1471"/>
      <c r="EA639" s="1471"/>
      <c r="EB639" s="1471"/>
      <c r="EC639" s="1471" t="e">
        <f t="shared" si="3"/>
        <v>#VALUE!</v>
      </c>
      <c r="ED639" s="1471"/>
      <c r="EE639" s="1471"/>
      <c r="EF639" s="1471"/>
      <c r="EG639" s="1471"/>
      <c r="EH639" s="1471">
        <f t="shared" si="4"/>
        <v>174.68181818181819</v>
      </c>
      <c r="EI639" s="1471"/>
      <c r="EJ639" s="1471"/>
      <c r="EK639" s="1471"/>
      <c r="EL639" s="1471"/>
      <c r="EM639" s="1471" t="e">
        <f t="shared" si="5"/>
        <v>#VALUE!</v>
      </c>
      <c r="EN639" s="1471"/>
      <c r="EO639" s="1471"/>
      <c r="EP639" s="1471"/>
      <c r="EQ639" s="1471"/>
      <c r="ER639" s="1471" t="e">
        <f t="shared" si="6"/>
        <v>#VALUE!</v>
      </c>
      <c r="ES639" s="1471"/>
      <c r="ET639" s="1471"/>
      <c r="EU639" s="1471"/>
      <c r="EV639" s="1471"/>
      <c r="EW639" s="1471" t="e">
        <f t="shared" si="7"/>
        <v>#VALUE!</v>
      </c>
      <c r="EX639" s="1471"/>
      <c r="EY639" s="1471"/>
      <c r="EZ639" s="1471"/>
      <c r="FA639" s="1471"/>
    </row>
    <row r="640" spans="2:157" ht="12.95" customHeight="1">
      <c r="B640" s="1608" t="s">
        <v>266</v>
      </c>
      <c r="C640" s="1609"/>
      <c r="D640" s="1609"/>
      <c r="E640" s="1609"/>
      <c r="F640" s="1609"/>
      <c r="G640" s="1609"/>
      <c r="H640" s="1609"/>
      <c r="I640" s="1609"/>
      <c r="J640" s="1609"/>
      <c r="K640" s="1609"/>
      <c r="L640" s="1609"/>
      <c r="M640" s="1609"/>
      <c r="N640" s="1609"/>
      <c r="O640" s="1609"/>
      <c r="P640" s="1609"/>
      <c r="Q640" s="1609"/>
      <c r="R640" s="1609"/>
      <c r="S640" s="1609"/>
      <c r="T640" s="1609"/>
      <c r="U640" s="1609"/>
      <c r="V640" s="1609"/>
      <c r="W640" s="1609"/>
      <c r="X640" s="1609"/>
      <c r="Y640" s="1609"/>
      <c r="Z640" s="1609"/>
      <c r="AA640" s="1609"/>
      <c r="AB640" s="1609"/>
      <c r="AC640" s="1609"/>
      <c r="AD640" s="1609"/>
      <c r="AE640" s="1609"/>
      <c r="AF640" s="1609"/>
      <c r="AG640" s="1609"/>
      <c r="AH640" s="1609"/>
      <c r="AI640" s="1609"/>
      <c r="AJ640" s="1609"/>
      <c r="AK640" s="1609"/>
      <c r="AL640" s="1609"/>
      <c r="AM640" s="1609"/>
      <c r="AN640" s="1610"/>
      <c r="AO640" s="1477">
        <v>31778845</v>
      </c>
      <c r="AP640" s="1478"/>
      <c r="AQ640" s="1478"/>
      <c r="AR640" s="1478"/>
      <c r="AS640" s="147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71" t="e">
        <f t="shared" si="2"/>
        <v>#VALUE!</v>
      </c>
      <c r="DY640" s="1471"/>
      <c r="DZ640" s="1471"/>
      <c r="EA640" s="1471"/>
      <c r="EB640" s="1471"/>
      <c r="EC640" s="1471" t="e">
        <f t="shared" si="3"/>
        <v>#VALUE!</v>
      </c>
      <c r="ED640" s="1471"/>
      <c r="EE640" s="1471"/>
      <c r="EF640" s="1471"/>
      <c r="EG640" s="1471"/>
      <c r="EH640" s="1471">
        <f t="shared" si="4"/>
        <v>1204.6060606060605</v>
      </c>
      <c r="EI640" s="1471"/>
      <c r="EJ640" s="1471"/>
      <c r="EK640" s="1471"/>
      <c r="EL640" s="1471"/>
      <c r="EM640" s="1471" t="e">
        <f t="shared" si="5"/>
        <v>#VALUE!</v>
      </c>
      <c r="EN640" s="1471"/>
      <c r="EO640" s="1471"/>
      <c r="EP640" s="1471"/>
      <c r="EQ640" s="1471"/>
      <c r="ER640" s="1471" t="e">
        <f t="shared" si="6"/>
        <v>#VALUE!</v>
      </c>
      <c r="ES640" s="1471"/>
      <c r="ET640" s="1471"/>
      <c r="EU640" s="1471"/>
      <c r="EV640" s="1471"/>
      <c r="EW640" s="1471" t="e">
        <f t="shared" si="7"/>
        <v>#VALUE!</v>
      </c>
      <c r="EX640" s="1471"/>
      <c r="EY640" s="1471"/>
      <c r="EZ640" s="1471"/>
      <c r="FA640" s="1471"/>
    </row>
    <row r="641" spans="1:157" ht="12.95" customHeight="1">
      <c r="B641" s="1493" t="s">
        <v>267</v>
      </c>
      <c r="C641" s="1494"/>
      <c r="D641" s="1494"/>
      <c r="E641" s="1494"/>
      <c r="F641" s="1494"/>
      <c r="G641" s="1494"/>
      <c r="H641" s="1494"/>
      <c r="I641" s="1494"/>
      <c r="J641" s="1494"/>
      <c r="K641" s="1494"/>
      <c r="L641" s="1494"/>
      <c r="M641" s="1494"/>
      <c r="N641" s="1494"/>
      <c r="O641" s="1494"/>
      <c r="P641" s="1494"/>
      <c r="Q641" s="1494"/>
      <c r="R641" s="1494"/>
      <c r="S641" s="1494"/>
      <c r="T641" s="1494"/>
      <c r="U641" s="1494"/>
      <c r="V641" s="1494"/>
      <c r="W641" s="1494"/>
      <c r="X641" s="1494"/>
      <c r="Y641" s="1494"/>
      <c r="Z641" s="1494"/>
      <c r="AA641" s="1494"/>
      <c r="AB641" s="1494"/>
      <c r="AC641" s="1494"/>
      <c r="AD641" s="1494"/>
      <c r="AE641" s="1494"/>
      <c r="AF641" s="1494"/>
      <c r="AG641" s="1494"/>
      <c r="AH641" s="1494"/>
      <c r="AI641" s="1494"/>
      <c r="AJ641" s="1494"/>
      <c r="AK641" s="1494"/>
      <c r="AL641" s="1494"/>
      <c r="AM641" s="1494"/>
      <c r="AN641" s="1495"/>
      <c r="AO641" s="1642">
        <f>AO639+AO640</f>
        <v>58945214</v>
      </c>
      <c r="AP641" s="1643"/>
      <c r="AQ641" s="1643"/>
      <c r="AR641" s="1643"/>
      <c r="AS641" s="164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71" t="e">
        <f t="shared" si="2"/>
        <v>#VALUE!</v>
      </c>
      <c r="DY641" s="1471"/>
      <c r="DZ641" s="1471"/>
      <c r="EA641" s="1471"/>
      <c r="EB641" s="1471"/>
      <c r="EC641" s="1471" t="e">
        <f t="shared" si="3"/>
        <v>#VALUE!</v>
      </c>
      <c r="ED641" s="1471"/>
      <c r="EE641" s="1471"/>
      <c r="EF641" s="1471"/>
      <c r="EG641" s="1471"/>
      <c r="EH641" s="1471">
        <f t="shared" si="4"/>
        <v>670.469696969697</v>
      </c>
      <c r="EI641" s="1471"/>
      <c r="EJ641" s="1471"/>
      <c r="EK641" s="1471"/>
      <c r="EL641" s="1471"/>
      <c r="EM641" s="1471" t="e">
        <f t="shared" si="5"/>
        <v>#VALUE!</v>
      </c>
      <c r="EN641" s="1471"/>
      <c r="EO641" s="1471"/>
      <c r="EP641" s="1471"/>
      <c r="EQ641" s="1471"/>
      <c r="ER641" s="1471" t="e">
        <f t="shared" si="6"/>
        <v>#VALUE!</v>
      </c>
      <c r="ES641" s="1471"/>
      <c r="ET641" s="1471"/>
      <c r="EU641" s="1471"/>
      <c r="EV641" s="1471"/>
      <c r="EW641" s="1471" t="e">
        <f t="shared" si="7"/>
        <v>#VALUE!</v>
      </c>
      <c r="EX641" s="1471"/>
      <c r="EY641" s="1471"/>
      <c r="EZ641" s="1471"/>
      <c r="FA641" s="14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71" t="e">
        <f t="shared" si="2"/>
        <v>#VALUE!</v>
      </c>
      <c r="DY642" s="1471"/>
      <c r="DZ642" s="1471"/>
      <c r="EA642" s="1471"/>
      <c r="EB642" s="1471"/>
      <c r="EC642" s="1471" t="e">
        <f t="shared" si="3"/>
        <v>#VALUE!</v>
      </c>
      <c r="ED642" s="1471"/>
      <c r="EE642" s="1471"/>
      <c r="EF642" s="1471"/>
      <c r="EG642" s="1471"/>
      <c r="EH642" s="1471" t="e">
        <f t="shared" si="4"/>
        <v>#VALUE!</v>
      </c>
      <c r="EI642" s="1471"/>
      <c r="EJ642" s="1471"/>
      <c r="EK642" s="1471"/>
      <c r="EL642" s="1471"/>
      <c r="EM642" s="1471">
        <f t="shared" si="5"/>
        <v>205.51351351351352</v>
      </c>
      <c r="EN642" s="1471"/>
      <c r="EO642" s="1471"/>
      <c r="EP642" s="1471"/>
      <c r="EQ642" s="1471"/>
      <c r="ER642" s="1471" t="e">
        <f t="shared" si="6"/>
        <v>#VALUE!</v>
      </c>
      <c r="ES642" s="1471"/>
      <c r="ET642" s="1471"/>
      <c r="EU642" s="1471"/>
      <c r="EV642" s="1471"/>
      <c r="EW642" s="1471" t="e">
        <f t="shared" si="7"/>
        <v>#VALUE!</v>
      </c>
      <c r="EX642" s="1471"/>
      <c r="EY642" s="1471"/>
      <c r="EZ642" s="1471"/>
      <c r="FA642" s="1471"/>
    </row>
    <row r="643" spans="1:157" ht="12.95" customHeight="1">
      <c r="A643" s="55" t="s">
        <v>112</v>
      </c>
      <c r="B643" t="s">
        <v>462</v>
      </c>
      <c r="G643" s="1350" t="str">
        <f>C627</f>
        <v>Citibank Tax-Exempt Loan</v>
      </c>
      <c r="H643" s="1350"/>
      <c r="I643" s="1350"/>
      <c r="J643" s="1350"/>
      <c r="K643" s="1350"/>
      <c r="L643" s="1350"/>
      <c r="M643" s="1350"/>
      <c r="N643" s="1350"/>
      <c r="O643" s="1350"/>
      <c r="P643" s="1350"/>
      <c r="Q643" s="1350"/>
      <c r="R643" s="1350"/>
      <c r="S643" s="8"/>
      <c r="T643" s="55" t="s">
        <v>113</v>
      </c>
      <c r="U643" t="s">
        <v>462</v>
      </c>
      <c r="Z643" s="1350" t="str">
        <f>C628</f>
        <v>Deferred Developer Fee</v>
      </c>
      <c r="AA643" s="1350"/>
      <c r="AB643" s="1350"/>
      <c r="AC643" s="1350"/>
      <c r="AD643" s="1350"/>
      <c r="AE643" s="1350"/>
      <c r="AF643" s="1350"/>
      <c r="AG643" s="1350"/>
      <c r="AH643" s="1350"/>
      <c r="AI643" s="1350"/>
      <c r="AJ643" s="1350"/>
      <c r="AK643" s="135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1" t="e">
        <f t="shared" si="2"/>
        <v>#VALUE!</v>
      </c>
      <c r="DY643" s="1471"/>
      <c r="DZ643" s="1471"/>
      <c r="EA643" s="1471"/>
      <c r="EB643" s="1471"/>
      <c r="EC643" s="1471" t="e">
        <f t="shared" si="3"/>
        <v>#VALUE!</v>
      </c>
      <c r="ED643" s="1471"/>
      <c r="EE643" s="1471"/>
      <c r="EF643" s="1471"/>
      <c r="EG643" s="1471"/>
      <c r="EH643" s="1471" t="e">
        <f t="shared" si="4"/>
        <v>#VALUE!</v>
      </c>
      <c r="EI643" s="1471"/>
      <c r="EJ643" s="1471"/>
      <c r="EK643" s="1471"/>
      <c r="EL643" s="1471"/>
      <c r="EM643" s="1471">
        <f t="shared" si="5"/>
        <v>2397.9405405405405</v>
      </c>
      <c r="EN643" s="1471"/>
      <c r="EO643" s="1471"/>
      <c r="EP643" s="1471"/>
      <c r="EQ643" s="1471"/>
      <c r="ER643" s="1471" t="e">
        <f t="shared" si="6"/>
        <v>#VALUE!</v>
      </c>
      <c r="ES643" s="1471"/>
      <c r="ET643" s="1471"/>
      <c r="EU643" s="1471"/>
      <c r="EV643" s="1471"/>
      <c r="EW643" s="1471" t="e">
        <f t="shared" si="7"/>
        <v>#VALUE!</v>
      </c>
      <c r="EX643" s="1471"/>
      <c r="EY643" s="1471"/>
      <c r="EZ643" s="1471"/>
      <c r="FA643" s="1471"/>
    </row>
    <row r="644" spans="1:157" ht="12.95" customHeight="1">
      <c r="A644" s="22"/>
      <c r="B644" t="s">
        <v>85</v>
      </c>
      <c r="G644" s="1355" t="s">
        <v>2727</v>
      </c>
      <c r="H644" s="1355"/>
      <c r="I644" s="1355"/>
      <c r="J644" s="1355"/>
      <c r="K644" s="1355"/>
      <c r="L644" s="1355"/>
      <c r="M644" s="1355"/>
      <c r="N644" s="1355"/>
      <c r="O644" s="1355"/>
      <c r="P644" s="1355"/>
      <c r="Q644" s="1355"/>
      <c r="R644" s="1355"/>
      <c r="S644" s="8"/>
      <c r="T644" s="22"/>
      <c r="U644" t="s">
        <v>85</v>
      </c>
      <c r="Z644" s="1355" t="s">
        <v>2739</v>
      </c>
      <c r="AA644" s="1355"/>
      <c r="AB644" s="1355"/>
      <c r="AC644" s="1355"/>
      <c r="AD644" s="1355"/>
      <c r="AE644" s="1355"/>
      <c r="AF644" s="1355"/>
      <c r="AG644" s="1355"/>
      <c r="AH644" s="1355"/>
      <c r="AI644" s="1355"/>
      <c r="AJ644" s="1355"/>
      <c r="AK644" s="1355"/>
      <c r="AV644" s="3"/>
      <c r="AW644" s="3"/>
      <c r="AX644" s="3"/>
      <c r="AY644" s="3"/>
      <c r="AZ644" s="3"/>
      <c r="BA644" s="3"/>
      <c r="BB644" s="3"/>
      <c r="BC644" s="3"/>
      <c r="BD644" s="3"/>
      <c r="BE644" s="3"/>
      <c r="BF644" s="3"/>
      <c r="BG644" s="3"/>
      <c r="BH644" s="3"/>
      <c r="BI644" s="3"/>
      <c r="BJ644" s="3"/>
      <c r="BK644" s="3"/>
      <c r="BL644" s="3"/>
      <c r="BM644" s="3"/>
      <c r="DX644" s="1471" t="e">
        <f t="shared" si="2"/>
        <v>#VALUE!</v>
      </c>
      <c r="DY644" s="1471"/>
      <c r="DZ644" s="1471"/>
      <c r="EA644" s="1471"/>
      <c r="EB644" s="1471"/>
      <c r="EC644" s="1471" t="e">
        <f t="shared" si="3"/>
        <v>#VALUE!</v>
      </c>
      <c r="ED644" s="1471"/>
      <c r="EE644" s="1471"/>
      <c r="EF644" s="1471"/>
      <c r="EG644" s="1471"/>
      <c r="EH644" s="1471" t="e">
        <f t="shared" si="4"/>
        <v>#VALUE!</v>
      </c>
      <c r="EI644" s="1471"/>
      <c r="EJ644" s="1471"/>
      <c r="EK644" s="1471"/>
      <c r="EL644" s="1471"/>
      <c r="EM644" s="1471" t="e">
        <f t="shared" si="5"/>
        <v>#VALUE!</v>
      </c>
      <c r="EN644" s="1471"/>
      <c r="EO644" s="1471"/>
      <c r="EP644" s="1471"/>
      <c r="EQ644" s="1471"/>
      <c r="ER644" s="1471" t="e">
        <f t="shared" si="6"/>
        <v>#VALUE!</v>
      </c>
      <c r="ES644" s="1471"/>
      <c r="ET644" s="1471"/>
      <c r="EU644" s="1471"/>
      <c r="EV644" s="1471"/>
      <c r="EW644" s="1471" t="e">
        <f t="shared" si="7"/>
        <v>#VALUE!</v>
      </c>
      <c r="EX644" s="1471"/>
      <c r="EY644" s="1471"/>
      <c r="EZ644" s="1471"/>
      <c r="FA644" s="1471"/>
    </row>
    <row r="645" spans="1:157" ht="12.95" customHeight="1">
      <c r="A645" s="22"/>
      <c r="B645" t="s">
        <v>579</v>
      </c>
      <c r="G645" s="1355" t="s">
        <v>493</v>
      </c>
      <c r="H645" s="1355"/>
      <c r="I645" s="1355"/>
      <c r="J645" s="1355"/>
      <c r="K645" s="1355"/>
      <c r="L645" s="1355"/>
      <c r="M645" s="1355"/>
      <c r="N645" s="1355"/>
      <c r="O645" s="1355"/>
      <c r="P645" s="1355"/>
      <c r="Q645" s="1355"/>
      <c r="R645" s="1355"/>
      <c r="T645" s="22"/>
      <c r="U645" t="s">
        <v>579</v>
      </c>
      <c r="Z645" s="1454" t="s">
        <v>493</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DX645" s="1471" t="e">
        <f t="shared" si="2"/>
        <v>#VALUE!</v>
      </c>
      <c r="DY645" s="1471"/>
      <c r="DZ645" s="1471"/>
      <c r="EA645" s="1471"/>
      <c r="EB645" s="1471"/>
      <c r="EC645" s="1471" t="e">
        <f t="shared" si="3"/>
        <v>#VALUE!</v>
      </c>
      <c r="ED645" s="1471"/>
      <c r="EE645" s="1471"/>
      <c r="EF645" s="1471"/>
      <c r="EG645" s="1471"/>
      <c r="EH645" s="1471" t="e">
        <f t="shared" si="4"/>
        <v>#VALUE!</v>
      </c>
      <c r="EI645" s="1471"/>
      <c r="EJ645" s="1471"/>
      <c r="EK645" s="1471"/>
      <c r="EL645" s="1471"/>
      <c r="EM645" s="1471" t="e">
        <f t="shared" si="5"/>
        <v>#VALUE!</v>
      </c>
      <c r="EN645" s="1471"/>
      <c r="EO645" s="1471"/>
      <c r="EP645" s="1471"/>
      <c r="EQ645" s="1471"/>
      <c r="ER645" s="1471" t="e">
        <f t="shared" si="6"/>
        <v>#VALUE!</v>
      </c>
      <c r="ES645" s="1471"/>
      <c r="ET645" s="1471"/>
      <c r="EU645" s="1471"/>
      <c r="EV645" s="1471"/>
      <c r="EW645" s="1471" t="e">
        <f t="shared" si="7"/>
        <v>#VALUE!</v>
      </c>
      <c r="EX645" s="1471"/>
      <c r="EY645" s="1471"/>
      <c r="EZ645" s="1471"/>
      <c r="FA645" s="1471"/>
    </row>
    <row r="646" spans="1:157" ht="12.95" customHeight="1">
      <c r="A646" s="22"/>
      <c r="B646" t="s">
        <v>17</v>
      </c>
      <c r="G646" s="1355" t="s">
        <v>2728</v>
      </c>
      <c r="H646" s="1355"/>
      <c r="I646" s="1355"/>
      <c r="J646" s="1355"/>
      <c r="K646" s="1355"/>
      <c r="L646" s="1355"/>
      <c r="M646" s="1355"/>
      <c r="N646" s="1355"/>
      <c r="O646" s="1355"/>
      <c r="P646" s="1355"/>
      <c r="Q646" s="1355"/>
      <c r="R646" s="1355"/>
      <c r="S646" s="8"/>
      <c r="T646" s="22"/>
      <c r="U646" t="s">
        <v>17</v>
      </c>
      <c r="Z646" s="1454" t="s">
        <v>2736</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DX646" s="1471" t="e">
        <f t="shared" si="2"/>
        <v>#VALUE!</v>
      </c>
      <c r="DY646" s="1471"/>
      <c r="DZ646" s="1471"/>
      <c r="EA646" s="1471"/>
      <c r="EB646" s="1471"/>
      <c r="EC646" s="1471" t="e">
        <f t="shared" si="3"/>
        <v>#VALUE!</v>
      </c>
      <c r="ED646" s="1471"/>
      <c r="EE646" s="1471"/>
      <c r="EF646" s="1471"/>
      <c r="EG646" s="1471"/>
      <c r="EH646" s="1471" t="e">
        <f t="shared" si="4"/>
        <v>#VALUE!</v>
      </c>
      <c r="EI646" s="1471"/>
      <c r="EJ646" s="1471"/>
      <c r="EK646" s="1471"/>
      <c r="EL646" s="1471"/>
      <c r="EM646" s="1471" t="e">
        <f t="shared" si="5"/>
        <v>#VALUE!</v>
      </c>
      <c r="EN646" s="1471"/>
      <c r="EO646" s="1471"/>
      <c r="EP646" s="1471"/>
      <c r="EQ646" s="1471"/>
      <c r="ER646" s="1471" t="e">
        <f t="shared" si="6"/>
        <v>#VALUE!</v>
      </c>
      <c r="ES646" s="1471"/>
      <c r="ET646" s="1471"/>
      <c r="EU646" s="1471"/>
      <c r="EV646" s="1471"/>
      <c r="EW646" s="1471" t="e">
        <f t="shared" si="7"/>
        <v>#VALUE!</v>
      </c>
      <c r="EX646" s="1471"/>
      <c r="EY646" s="1471"/>
      <c r="EZ646" s="1471"/>
      <c r="FA646" s="1471"/>
    </row>
    <row r="647" spans="1:157" ht="12.95" customHeight="1">
      <c r="A647" s="22"/>
      <c r="B647" t="s">
        <v>315</v>
      </c>
      <c r="G647" s="1420" t="s">
        <v>2729</v>
      </c>
      <c r="H647" s="1420"/>
      <c r="I647" s="1420"/>
      <c r="J647" s="1420"/>
      <c r="K647" s="1420"/>
      <c r="L647" s="1420"/>
      <c r="O647" s="33" t="s">
        <v>205</v>
      </c>
      <c r="P647" s="1354"/>
      <c r="Q647" s="1354"/>
      <c r="R647" s="1354"/>
      <c r="S647" s="10"/>
      <c r="T647" s="22"/>
      <c r="U647" t="s">
        <v>315</v>
      </c>
      <c r="Z647" s="1420" t="s">
        <v>2641</v>
      </c>
      <c r="AA647" s="1420"/>
      <c r="AB647" s="1420"/>
      <c r="AC647" s="1420"/>
      <c r="AD647" s="1420"/>
      <c r="AE647" s="1420"/>
      <c r="AH647" s="33" t="s">
        <v>205</v>
      </c>
      <c r="AI647" s="1354">
        <v>106</v>
      </c>
      <c r="AJ647" s="1354"/>
      <c r="AK647" s="1354"/>
      <c r="AZ647" s="34"/>
      <c r="BA647" s="34"/>
      <c r="BB647" s="34"/>
      <c r="BC647" s="34"/>
      <c r="BD647" s="34"/>
      <c r="BE647" s="34"/>
      <c r="BF647" s="34"/>
      <c r="BG647" s="34"/>
      <c r="BH647" s="34"/>
      <c r="BI647" s="34"/>
      <c r="BJ647" s="34"/>
      <c r="BK647" s="34"/>
      <c r="BL647" s="34"/>
      <c r="BM647" s="34"/>
      <c r="DX647" s="1471" t="e">
        <f t="shared" si="2"/>
        <v>#VALUE!</v>
      </c>
      <c r="DY647" s="1471"/>
      <c r="DZ647" s="1471"/>
      <c r="EA647" s="1471"/>
      <c r="EB647" s="1471"/>
      <c r="EC647" s="1471" t="e">
        <f t="shared" si="3"/>
        <v>#VALUE!</v>
      </c>
      <c r="ED647" s="1471"/>
      <c r="EE647" s="1471"/>
      <c r="EF647" s="1471"/>
      <c r="EG647" s="1471"/>
      <c r="EH647" s="1471" t="e">
        <f t="shared" si="4"/>
        <v>#VALUE!</v>
      </c>
      <c r="EI647" s="1471"/>
      <c r="EJ647" s="1471"/>
      <c r="EK647" s="1471"/>
      <c r="EL647" s="1471"/>
      <c r="EM647" s="1471" t="e">
        <f t="shared" si="5"/>
        <v>#VALUE!</v>
      </c>
      <c r="EN647" s="1471"/>
      <c r="EO647" s="1471"/>
      <c r="EP647" s="1471"/>
      <c r="EQ647" s="1471"/>
      <c r="ER647" s="1471" t="e">
        <f t="shared" si="6"/>
        <v>#VALUE!</v>
      </c>
      <c r="ES647" s="1471"/>
      <c r="ET647" s="1471"/>
      <c r="EU647" s="1471"/>
      <c r="EV647" s="1471"/>
      <c r="EW647" s="1471" t="e">
        <f t="shared" si="7"/>
        <v>#VALUE!</v>
      </c>
      <c r="EX647" s="1471"/>
      <c r="EY647" s="1471"/>
      <c r="EZ647" s="1471"/>
      <c r="FA647" s="1471"/>
    </row>
    <row r="648" spans="1:157" ht="12.95" customHeight="1">
      <c r="A648" s="22"/>
      <c r="B648" t="s">
        <v>18</v>
      </c>
      <c r="H648" s="1355" t="s">
        <v>2738</v>
      </c>
      <c r="I648" s="1355"/>
      <c r="J648" s="1355"/>
      <c r="K648" s="1355"/>
      <c r="L648" s="1355"/>
      <c r="M648" s="1355"/>
      <c r="N648" s="1355"/>
      <c r="O648" s="1355"/>
      <c r="P648" s="1355"/>
      <c r="Q648" s="1355"/>
      <c r="R648" s="1355"/>
      <c r="S648" s="8"/>
      <c r="T648" s="22"/>
      <c r="U648" t="s">
        <v>18</v>
      </c>
      <c r="AA648" s="1355" t="s">
        <v>2320</v>
      </c>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DX648" s="1471" t="e">
        <f t="shared" si="2"/>
        <v>#VALUE!</v>
      </c>
      <c r="DY648" s="1471"/>
      <c r="DZ648" s="1471"/>
      <c r="EA648" s="1471"/>
      <c r="EB648" s="1471"/>
      <c r="EC648" s="1471" t="e">
        <f t="shared" si="3"/>
        <v>#VALUE!</v>
      </c>
      <c r="ED648" s="1471"/>
      <c r="EE648" s="1471"/>
      <c r="EF648" s="1471"/>
      <c r="EG648" s="1471"/>
      <c r="EH648" s="1471" t="e">
        <f t="shared" si="4"/>
        <v>#VALUE!</v>
      </c>
      <c r="EI648" s="1471"/>
      <c r="EJ648" s="1471"/>
      <c r="EK648" s="1471"/>
      <c r="EL648" s="1471"/>
      <c r="EM648" s="1471" t="e">
        <f t="shared" si="5"/>
        <v>#VALUE!</v>
      </c>
      <c r="EN648" s="1471"/>
      <c r="EO648" s="1471"/>
      <c r="EP648" s="1471"/>
      <c r="EQ648" s="1471"/>
      <c r="ER648" s="1471" t="e">
        <f t="shared" si="6"/>
        <v>#VALUE!</v>
      </c>
      <c r="ES648" s="1471"/>
      <c r="ET648" s="1471"/>
      <c r="EU648" s="1471"/>
      <c r="EV648" s="1471"/>
      <c r="EW648" s="1471" t="e">
        <f t="shared" si="7"/>
        <v>#VALUE!</v>
      </c>
      <c r="EX648" s="1471"/>
      <c r="EY648" s="1471"/>
      <c r="EZ648" s="1471"/>
      <c r="FA648" s="1471"/>
    </row>
    <row r="649" spans="1:157" ht="12.95" customHeight="1">
      <c r="A649" s="22"/>
      <c r="B649" t="s">
        <v>20</v>
      </c>
      <c r="N649" s="1333" t="s">
        <v>544</v>
      </c>
      <c r="O649" s="1333"/>
      <c r="T649" s="22"/>
      <c r="U649" t="s">
        <v>20</v>
      </c>
      <c r="AG649" s="1333" t="s">
        <v>544</v>
      </c>
      <c r="AH649" s="1333"/>
      <c r="AZ649" s="34"/>
      <c r="BA649" s="34"/>
      <c r="BB649" s="34"/>
      <c r="BC649" s="34"/>
      <c r="BD649" s="34"/>
      <c r="BE649" s="34"/>
      <c r="BF649" s="34"/>
      <c r="BG649" s="34"/>
      <c r="BH649" s="34"/>
      <c r="BI649" s="34"/>
      <c r="BJ649" s="34"/>
      <c r="BK649" s="34"/>
      <c r="BL649" s="34"/>
      <c r="BM649" s="34"/>
      <c r="DX649" s="1471" t="e">
        <f t="shared" si="2"/>
        <v>#VALUE!</v>
      </c>
      <c r="DY649" s="1471"/>
      <c r="DZ649" s="1471"/>
      <c r="EA649" s="1471"/>
      <c r="EB649" s="1471"/>
      <c r="EC649" s="1471" t="e">
        <f t="shared" si="3"/>
        <v>#VALUE!</v>
      </c>
      <c r="ED649" s="1471"/>
      <c r="EE649" s="1471"/>
      <c r="EF649" s="1471"/>
      <c r="EG649" s="1471"/>
      <c r="EH649" s="1471" t="e">
        <f t="shared" si="4"/>
        <v>#VALUE!</v>
      </c>
      <c r="EI649" s="1471"/>
      <c r="EJ649" s="1471"/>
      <c r="EK649" s="1471"/>
      <c r="EL649" s="1471"/>
      <c r="EM649" s="1471" t="e">
        <f t="shared" si="5"/>
        <v>#VALUE!</v>
      </c>
      <c r="EN649" s="1471"/>
      <c r="EO649" s="1471"/>
      <c r="EP649" s="1471"/>
      <c r="EQ649" s="1471"/>
      <c r="ER649" s="1471" t="e">
        <f t="shared" si="6"/>
        <v>#VALUE!</v>
      </c>
      <c r="ES649" s="1471"/>
      <c r="ET649" s="1471"/>
      <c r="EU649" s="1471"/>
      <c r="EV649" s="1471"/>
      <c r="EW649" s="1471" t="e">
        <f t="shared" si="7"/>
        <v>#VALUE!</v>
      </c>
      <c r="EX649" s="1471"/>
      <c r="EY649" s="1471"/>
      <c r="EZ649" s="1471"/>
      <c r="FA649" s="1471"/>
    </row>
    <row r="650" spans="1:157" ht="12.95" customHeight="1">
      <c r="A650" s="22"/>
      <c r="T650" s="22"/>
      <c r="AZ650" s="34"/>
      <c r="BA650" s="34"/>
      <c r="BB650" s="34"/>
      <c r="BC650" s="34"/>
      <c r="BD650" s="34"/>
      <c r="BE650" s="34"/>
      <c r="BF650" s="34"/>
      <c r="BG650" s="34"/>
      <c r="BH650" s="34"/>
      <c r="BI650" s="34"/>
      <c r="BJ650" s="34"/>
      <c r="BK650" s="34"/>
      <c r="BL650" s="34"/>
      <c r="BM650" s="34"/>
      <c r="DX650" s="1471" t="e">
        <f t="shared" si="2"/>
        <v>#VALUE!</v>
      </c>
      <c r="DY650" s="1471"/>
      <c r="DZ650" s="1471"/>
      <c r="EA650" s="1471"/>
      <c r="EB650" s="1471"/>
      <c r="EC650" s="1471" t="e">
        <f t="shared" si="3"/>
        <v>#VALUE!</v>
      </c>
      <c r="ED650" s="1471"/>
      <c r="EE650" s="1471"/>
      <c r="EF650" s="1471"/>
      <c r="EG650" s="1471"/>
      <c r="EH650" s="1471" t="e">
        <f t="shared" si="4"/>
        <v>#VALUE!</v>
      </c>
      <c r="EI650" s="1471"/>
      <c r="EJ650" s="1471"/>
      <c r="EK650" s="1471"/>
      <c r="EL650" s="1471"/>
      <c r="EM650" s="1471" t="e">
        <f t="shared" si="5"/>
        <v>#VALUE!</v>
      </c>
      <c r="EN650" s="1471"/>
      <c r="EO650" s="1471"/>
      <c r="EP650" s="1471"/>
      <c r="EQ650" s="1471"/>
      <c r="ER650" s="1471" t="e">
        <f t="shared" si="6"/>
        <v>#VALUE!</v>
      </c>
      <c r="ES650" s="1471"/>
      <c r="ET650" s="1471"/>
      <c r="EU650" s="1471"/>
      <c r="EV650" s="1471"/>
      <c r="EW650" s="1471" t="e">
        <f t="shared" si="7"/>
        <v>#VALUE!</v>
      </c>
      <c r="EX650" s="1471"/>
      <c r="EY650" s="1471"/>
      <c r="EZ650" s="1471"/>
      <c r="FA650" s="1471"/>
    </row>
    <row r="651" spans="1:157" ht="12.95" customHeight="1">
      <c r="A651" s="55" t="s">
        <v>119</v>
      </c>
      <c r="B651" t="s">
        <v>462</v>
      </c>
      <c r="G651" s="1350">
        <f>C629</f>
        <v>0</v>
      </c>
      <c r="H651" s="1350"/>
      <c r="I651" s="1350"/>
      <c r="J651" s="1350"/>
      <c r="K651" s="1350"/>
      <c r="L651" s="1350"/>
      <c r="M651" s="1350"/>
      <c r="N651" s="1350"/>
      <c r="O651" s="1350"/>
      <c r="P651" s="1350"/>
      <c r="Q651" s="1350"/>
      <c r="R651" s="1350"/>
      <c r="T651" s="55" t="s">
        <v>580</v>
      </c>
      <c r="U651" t="s">
        <v>462</v>
      </c>
      <c r="Z651" s="1350">
        <f>C630</f>
        <v>0</v>
      </c>
      <c r="AA651" s="1350"/>
      <c r="AB651" s="1350"/>
      <c r="AC651" s="1350"/>
      <c r="AD651" s="1350"/>
      <c r="AE651" s="1350"/>
      <c r="AF651" s="1350"/>
      <c r="AG651" s="1350"/>
      <c r="AH651" s="1350"/>
      <c r="AI651" s="1350"/>
      <c r="AJ651" s="1350"/>
      <c r="AK651" s="1350"/>
      <c r="AZ651" s="34"/>
      <c r="BA651" s="34"/>
      <c r="BB651" s="34"/>
      <c r="BC651" s="34"/>
      <c r="BD651" s="34"/>
      <c r="BE651" s="34"/>
      <c r="BF651" s="34"/>
      <c r="BG651" s="34"/>
      <c r="BH651" s="34"/>
      <c r="BI651" s="34"/>
      <c r="BJ651" s="34"/>
      <c r="BK651" s="34"/>
      <c r="BL651" s="34"/>
      <c r="BM651" s="34"/>
      <c r="DX651" s="1471" t="e">
        <f t="shared" si="2"/>
        <v>#VALUE!</v>
      </c>
      <c r="DY651" s="1471"/>
      <c r="DZ651" s="1471"/>
      <c r="EA651" s="1471"/>
      <c r="EB651" s="1471"/>
      <c r="EC651" s="1471" t="e">
        <f t="shared" si="3"/>
        <v>#VALUE!</v>
      </c>
      <c r="ED651" s="1471"/>
      <c r="EE651" s="1471"/>
      <c r="EF651" s="1471"/>
      <c r="EG651" s="1471"/>
      <c r="EH651" s="1471" t="e">
        <f t="shared" si="4"/>
        <v>#VALUE!</v>
      </c>
      <c r="EI651" s="1471"/>
      <c r="EJ651" s="1471"/>
      <c r="EK651" s="1471"/>
      <c r="EL651" s="1471"/>
      <c r="EM651" s="1471" t="e">
        <f t="shared" si="5"/>
        <v>#VALUE!</v>
      </c>
      <c r="EN651" s="1471"/>
      <c r="EO651" s="1471"/>
      <c r="EP651" s="1471"/>
      <c r="EQ651" s="1471"/>
      <c r="ER651" s="1471" t="e">
        <f t="shared" si="6"/>
        <v>#VALUE!</v>
      </c>
      <c r="ES651" s="1471"/>
      <c r="ET651" s="1471"/>
      <c r="EU651" s="1471"/>
      <c r="EV651" s="1471"/>
      <c r="EW651" s="1471" t="e">
        <f t="shared" si="7"/>
        <v>#VALUE!</v>
      </c>
      <c r="EX651" s="1471"/>
      <c r="EY651" s="1471"/>
      <c r="EZ651" s="1471"/>
      <c r="FA651" s="1471"/>
    </row>
    <row r="652" spans="1:157" ht="12.95" customHeight="1">
      <c r="A652" s="22"/>
      <c r="B652" t="s">
        <v>85</v>
      </c>
      <c r="G652" s="1355"/>
      <c r="H652" s="1355"/>
      <c r="I652" s="1355"/>
      <c r="J652" s="1355"/>
      <c r="K652" s="1355"/>
      <c r="L652" s="1355"/>
      <c r="M652" s="1355"/>
      <c r="N652" s="1355"/>
      <c r="O652" s="1355"/>
      <c r="P652" s="1355"/>
      <c r="Q652" s="1355"/>
      <c r="R652" s="1355"/>
      <c r="T652" s="22"/>
      <c r="U652" t="s">
        <v>85</v>
      </c>
      <c r="Z652" s="1355"/>
      <c r="AA652" s="1355"/>
      <c r="AB652" s="1355"/>
      <c r="AC652" s="1355"/>
      <c r="AD652" s="1355"/>
      <c r="AE652" s="1355"/>
      <c r="AF652" s="1355"/>
      <c r="AG652" s="1355"/>
      <c r="AH652" s="1355"/>
      <c r="AI652" s="1355"/>
      <c r="AJ652" s="1355"/>
      <c r="AK652" s="1355"/>
      <c r="AZ652" s="34"/>
      <c r="BA652" s="34"/>
      <c r="BB652" s="34"/>
      <c r="BC652" s="34"/>
      <c r="BD652" s="34"/>
      <c r="BE652" s="34"/>
      <c r="BF652" s="34"/>
      <c r="BG652" s="34"/>
      <c r="BH652" s="34"/>
      <c r="BI652" s="34"/>
      <c r="BJ652" s="34"/>
      <c r="BK652" s="34"/>
      <c r="BL652" s="34"/>
      <c r="BM652" s="34"/>
      <c r="DX652" s="1471" t="e">
        <f t="shared" si="2"/>
        <v>#VALUE!</v>
      </c>
      <c r="DY652" s="1471"/>
      <c r="DZ652" s="1471"/>
      <c r="EA652" s="1471"/>
      <c r="EB652" s="1471"/>
      <c r="EC652" s="1471" t="e">
        <f t="shared" si="3"/>
        <v>#VALUE!</v>
      </c>
      <c r="ED652" s="1471"/>
      <c r="EE652" s="1471"/>
      <c r="EF652" s="1471"/>
      <c r="EG652" s="1471"/>
      <c r="EH652" s="1471" t="e">
        <f t="shared" si="4"/>
        <v>#VALUE!</v>
      </c>
      <c r="EI652" s="1471"/>
      <c r="EJ652" s="1471"/>
      <c r="EK652" s="1471"/>
      <c r="EL652" s="1471"/>
      <c r="EM652" s="1471" t="e">
        <f t="shared" si="5"/>
        <v>#VALUE!</v>
      </c>
      <c r="EN652" s="1471"/>
      <c r="EO652" s="1471"/>
      <c r="EP652" s="1471"/>
      <c r="EQ652" s="1471"/>
      <c r="ER652" s="1471" t="e">
        <f t="shared" si="6"/>
        <v>#VALUE!</v>
      </c>
      <c r="ES652" s="1471"/>
      <c r="ET652" s="1471"/>
      <c r="EU652" s="1471"/>
      <c r="EV652" s="1471"/>
      <c r="EW652" s="1471" t="e">
        <f t="shared" si="7"/>
        <v>#VALUE!</v>
      </c>
      <c r="EX652" s="1471"/>
      <c r="EY652" s="1471"/>
      <c r="EZ652" s="1471"/>
      <c r="FA652" s="1471"/>
    </row>
    <row r="653" spans="1:157" ht="12.95" customHeight="1">
      <c r="A653" s="22"/>
      <c r="B653" t="s">
        <v>579</v>
      </c>
      <c r="G653" s="1454"/>
      <c r="H653" s="1454"/>
      <c r="I653" s="1454"/>
      <c r="J653" s="1454"/>
      <c r="K653" s="1454"/>
      <c r="L653" s="1454"/>
      <c r="M653" s="1454"/>
      <c r="N653" s="1454"/>
      <c r="O653" s="1454"/>
      <c r="P653" s="1454"/>
      <c r="Q653" s="1454"/>
      <c r="R653" s="1454"/>
      <c r="T653" s="22"/>
      <c r="U653" t="s">
        <v>579</v>
      </c>
      <c r="Z653" s="1454"/>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DX653" s="1471" t="e">
        <f t="shared" si="2"/>
        <v>#VALUE!</v>
      </c>
      <c r="DY653" s="1471"/>
      <c r="DZ653" s="1471"/>
      <c r="EA653" s="1471"/>
      <c r="EB653" s="1471"/>
      <c r="EC653" s="1471" t="e">
        <f t="shared" si="3"/>
        <v>#VALUE!</v>
      </c>
      <c r="ED653" s="1471"/>
      <c r="EE653" s="1471"/>
      <c r="EF653" s="1471"/>
      <c r="EG653" s="1471"/>
      <c r="EH653" s="1471" t="e">
        <f t="shared" si="4"/>
        <v>#VALUE!</v>
      </c>
      <c r="EI653" s="1471"/>
      <c r="EJ653" s="1471"/>
      <c r="EK653" s="1471"/>
      <c r="EL653" s="1471"/>
      <c r="EM653" s="1471" t="e">
        <f t="shared" si="5"/>
        <v>#VALUE!</v>
      </c>
      <c r="EN653" s="1471"/>
      <c r="EO653" s="1471"/>
      <c r="EP653" s="1471"/>
      <c r="EQ653" s="1471"/>
      <c r="ER653" s="1471" t="e">
        <f t="shared" si="6"/>
        <v>#VALUE!</v>
      </c>
      <c r="ES653" s="1471"/>
      <c r="ET653" s="1471"/>
      <c r="EU653" s="1471"/>
      <c r="EV653" s="1471"/>
      <c r="EW653" s="1471" t="e">
        <f t="shared" si="7"/>
        <v>#VALUE!</v>
      </c>
      <c r="EX653" s="1471"/>
      <c r="EY653" s="1471"/>
      <c r="EZ653" s="1471"/>
      <c r="FA653" s="1471"/>
    </row>
    <row r="654" spans="1:157" ht="12.95" customHeight="1">
      <c r="A654" s="22"/>
      <c r="B654" t="s">
        <v>17</v>
      </c>
      <c r="G654" s="1454"/>
      <c r="H654" s="1454"/>
      <c r="I654" s="1454"/>
      <c r="J654" s="1454"/>
      <c r="K654" s="1454"/>
      <c r="L654" s="1454"/>
      <c r="M654" s="1454"/>
      <c r="N654" s="1454"/>
      <c r="O654" s="1454"/>
      <c r="P654" s="1454"/>
      <c r="Q654" s="1454"/>
      <c r="R654" s="1454"/>
      <c r="T654" s="22"/>
      <c r="U654" t="s">
        <v>17</v>
      </c>
      <c r="Z654" s="1454"/>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DX654" s="1471" t="e">
        <f t="shared" si="2"/>
        <v>#VALUE!</v>
      </c>
      <c r="DY654" s="1471"/>
      <c r="DZ654" s="1471"/>
      <c r="EA654" s="1471"/>
      <c r="EB654" s="1471"/>
      <c r="EC654" s="1471" t="e">
        <f t="shared" si="3"/>
        <v>#VALUE!</v>
      </c>
      <c r="ED654" s="1471"/>
      <c r="EE654" s="1471"/>
      <c r="EF654" s="1471"/>
      <c r="EG654" s="1471"/>
      <c r="EH654" s="1471" t="e">
        <f t="shared" si="4"/>
        <v>#VALUE!</v>
      </c>
      <c r="EI654" s="1471"/>
      <c r="EJ654" s="1471"/>
      <c r="EK654" s="1471"/>
      <c r="EL654" s="1471"/>
      <c r="EM654" s="1471" t="e">
        <f t="shared" si="5"/>
        <v>#VALUE!</v>
      </c>
      <c r="EN654" s="1471"/>
      <c r="EO654" s="1471"/>
      <c r="EP654" s="1471"/>
      <c r="EQ654" s="1471"/>
      <c r="ER654" s="1471" t="e">
        <f t="shared" si="6"/>
        <v>#VALUE!</v>
      </c>
      <c r="ES654" s="1471"/>
      <c r="ET654" s="1471"/>
      <c r="EU654" s="1471"/>
      <c r="EV654" s="1471"/>
      <c r="EW654" s="1471" t="e">
        <f t="shared" si="7"/>
        <v>#VALUE!</v>
      </c>
      <c r="EX654" s="1471"/>
      <c r="EY654" s="1471"/>
      <c r="EZ654" s="1471"/>
      <c r="FA654" s="1471"/>
    </row>
    <row r="655" spans="1:157" ht="12.95" customHeight="1">
      <c r="A655" s="22"/>
      <c r="B655" t="s">
        <v>315</v>
      </c>
      <c r="G655" s="1420"/>
      <c r="H655" s="1420"/>
      <c r="I655" s="1420"/>
      <c r="J655" s="1420"/>
      <c r="K655" s="1420"/>
      <c r="L655" s="1420"/>
      <c r="O655" s="33" t="s">
        <v>205</v>
      </c>
      <c r="P655" s="1354"/>
      <c r="Q655" s="1354"/>
      <c r="R655" s="1354"/>
      <c r="T655" s="22"/>
      <c r="U655" t="s">
        <v>315</v>
      </c>
      <c r="Z655" s="1420"/>
      <c r="AA655" s="1420"/>
      <c r="AB655" s="1420"/>
      <c r="AC655" s="1420"/>
      <c r="AD655" s="1420"/>
      <c r="AE655" s="1420"/>
      <c r="AH655" s="33" t="s">
        <v>205</v>
      </c>
      <c r="AI655" s="1354"/>
      <c r="AJ655" s="1354"/>
      <c r="AK655" s="1354"/>
      <c r="AZ655" s="34"/>
      <c r="BA655" s="34"/>
      <c r="BB655" s="34"/>
      <c r="BC655" s="34"/>
      <c r="BD655" s="34"/>
      <c r="BE655" s="34"/>
      <c r="BF655" s="34"/>
      <c r="BG655" s="34"/>
      <c r="BH655" s="34"/>
      <c r="BI655" s="34"/>
      <c r="BJ655" s="34"/>
      <c r="BK655" s="34"/>
      <c r="BL655" s="34"/>
      <c r="BM655" s="34"/>
      <c r="DX655" s="1471" t="e">
        <f t="shared" si="2"/>
        <v>#VALUE!</v>
      </c>
      <c r="DY655" s="1471"/>
      <c r="DZ655" s="1471"/>
      <c r="EA655" s="1471"/>
      <c r="EB655" s="1471"/>
      <c r="EC655" s="1471" t="e">
        <f t="shared" si="3"/>
        <v>#VALUE!</v>
      </c>
      <c r="ED655" s="1471"/>
      <c r="EE655" s="1471"/>
      <c r="EF655" s="1471"/>
      <c r="EG655" s="1471"/>
      <c r="EH655" s="1471" t="e">
        <f t="shared" si="4"/>
        <v>#VALUE!</v>
      </c>
      <c r="EI655" s="1471"/>
      <c r="EJ655" s="1471"/>
      <c r="EK655" s="1471"/>
      <c r="EL655" s="1471"/>
      <c r="EM655" s="1471" t="e">
        <f t="shared" si="5"/>
        <v>#VALUE!</v>
      </c>
      <c r="EN655" s="1471"/>
      <c r="EO655" s="1471"/>
      <c r="EP655" s="1471"/>
      <c r="EQ655" s="1471"/>
      <c r="ER655" s="1471" t="e">
        <f t="shared" si="6"/>
        <v>#VALUE!</v>
      </c>
      <c r="ES655" s="1471"/>
      <c r="ET655" s="1471"/>
      <c r="EU655" s="1471"/>
      <c r="EV655" s="1471"/>
      <c r="EW655" s="1471" t="e">
        <f t="shared" si="7"/>
        <v>#VALUE!</v>
      </c>
      <c r="EX655" s="1471"/>
      <c r="EY655" s="1471"/>
      <c r="EZ655" s="1471"/>
      <c r="FA655" s="1471"/>
    </row>
    <row r="656" spans="1:157" ht="12.95" customHeight="1">
      <c r="A656" s="22"/>
      <c r="B656" t="s">
        <v>18</v>
      </c>
      <c r="H656" s="1355"/>
      <c r="I656" s="1355"/>
      <c r="J656" s="1355"/>
      <c r="K656" s="1355"/>
      <c r="L656" s="1355"/>
      <c r="M656" s="1355"/>
      <c r="N656" s="1355"/>
      <c r="O656" s="1355"/>
      <c r="P656" s="1355"/>
      <c r="Q656" s="1355"/>
      <c r="R656" s="1355"/>
      <c r="T656" s="22"/>
      <c r="U656" t="s">
        <v>18</v>
      </c>
      <c r="AA656" s="1355"/>
      <c r="AB656" s="1355"/>
      <c r="AC656" s="1355"/>
      <c r="AD656" s="1355"/>
      <c r="AE656" s="1355"/>
      <c r="AF656" s="1355"/>
      <c r="AG656" s="1355"/>
      <c r="AH656" s="1355"/>
      <c r="AI656" s="1355"/>
      <c r="AJ656" s="1355"/>
      <c r="AK656" s="1355"/>
      <c r="AZ656" s="34"/>
      <c r="BA656" s="34"/>
      <c r="BB656" s="34"/>
      <c r="BC656" s="34"/>
      <c r="BD656" s="34"/>
      <c r="BE656" s="34"/>
      <c r="BF656" s="34"/>
      <c r="BG656" s="34"/>
      <c r="BH656" s="34"/>
      <c r="BI656" s="34"/>
      <c r="BJ656" s="34"/>
      <c r="BK656" s="34"/>
      <c r="BL656" s="34"/>
      <c r="BM656" s="34"/>
      <c r="DX656" s="1471" t="e">
        <f t="shared" si="2"/>
        <v>#VALUE!</v>
      </c>
      <c r="DY656" s="1471"/>
      <c r="DZ656" s="1471"/>
      <c r="EA656" s="1471"/>
      <c r="EB656" s="1471"/>
      <c r="EC656" s="1471" t="e">
        <f t="shared" si="3"/>
        <v>#VALUE!</v>
      </c>
      <c r="ED656" s="1471"/>
      <c r="EE656" s="1471"/>
      <c r="EF656" s="1471"/>
      <c r="EG656" s="1471"/>
      <c r="EH656" s="1471" t="e">
        <f t="shared" si="4"/>
        <v>#VALUE!</v>
      </c>
      <c r="EI656" s="1471"/>
      <c r="EJ656" s="1471"/>
      <c r="EK656" s="1471"/>
      <c r="EL656" s="1471"/>
      <c r="EM656" s="1471" t="e">
        <f t="shared" si="5"/>
        <v>#VALUE!</v>
      </c>
      <c r="EN656" s="1471"/>
      <c r="EO656" s="1471"/>
      <c r="EP656" s="1471"/>
      <c r="EQ656" s="1471"/>
      <c r="ER656" s="1471" t="e">
        <f t="shared" si="6"/>
        <v>#VALUE!</v>
      </c>
      <c r="ES656" s="1471"/>
      <c r="ET656" s="1471"/>
      <c r="EU656" s="1471"/>
      <c r="EV656" s="1471"/>
      <c r="EW656" s="1471" t="e">
        <f t="shared" si="7"/>
        <v>#VALUE!</v>
      </c>
      <c r="EX656" s="1471"/>
      <c r="EY656" s="1471"/>
      <c r="EZ656" s="1471"/>
      <c r="FA656" s="1471"/>
    </row>
    <row r="657" spans="1:157" ht="12.95" customHeight="1">
      <c r="A657" s="22"/>
      <c r="B657" t="s">
        <v>20</v>
      </c>
      <c r="N657" s="1333"/>
      <c r="O657" s="1333"/>
      <c r="T657" s="22"/>
      <c r="U657" t="s">
        <v>20</v>
      </c>
      <c r="AG657" s="1333" t="s">
        <v>668</v>
      </c>
      <c r="AH657" s="1333"/>
      <c r="AZ657" s="34"/>
      <c r="BA657" s="34"/>
      <c r="BB657" s="34"/>
      <c r="BC657" s="34"/>
      <c r="BD657" s="34"/>
      <c r="BE657" s="34"/>
      <c r="BF657" s="34"/>
      <c r="BG657" s="34"/>
      <c r="BH657" s="34"/>
      <c r="BI657" s="34"/>
      <c r="BJ657" s="34"/>
      <c r="BK657" s="34"/>
      <c r="BL657" s="34"/>
      <c r="BM657" s="34"/>
      <c r="DX657" s="1471" t="e">
        <f t="shared" si="2"/>
        <v>#VALUE!</v>
      </c>
      <c r="DY657" s="1471"/>
      <c r="DZ657" s="1471"/>
      <c r="EA657" s="1471"/>
      <c r="EB657" s="1471"/>
      <c r="EC657" s="1471" t="e">
        <f t="shared" si="3"/>
        <v>#VALUE!</v>
      </c>
      <c r="ED657" s="1471"/>
      <c r="EE657" s="1471"/>
      <c r="EF657" s="1471"/>
      <c r="EG657" s="1471"/>
      <c r="EH657" s="1471" t="e">
        <f t="shared" si="4"/>
        <v>#VALUE!</v>
      </c>
      <c r="EI657" s="1471"/>
      <c r="EJ657" s="1471"/>
      <c r="EK657" s="1471"/>
      <c r="EL657" s="1471"/>
      <c r="EM657" s="1471" t="e">
        <f t="shared" si="5"/>
        <v>#VALUE!</v>
      </c>
      <c r="EN657" s="1471"/>
      <c r="EO657" s="1471"/>
      <c r="EP657" s="1471"/>
      <c r="EQ657" s="1471"/>
      <c r="ER657" s="1471" t="e">
        <f t="shared" si="6"/>
        <v>#VALUE!</v>
      </c>
      <c r="ES657" s="1471"/>
      <c r="ET657" s="1471"/>
      <c r="EU657" s="1471"/>
      <c r="EV657" s="1471"/>
      <c r="EW657" s="1471" t="e">
        <f t="shared" si="7"/>
        <v>#VALUE!</v>
      </c>
      <c r="EX657" s="1471"/>
      <c r="EY657" s="1471"/>
      <c r="EZ657" s="1471"/>
      <c r="FA657" s="1471"/>
    </row>
    <row r="658" spans="1:157" ht="12.95" customHeight="1">
      <c r="A658" s="22"/>
      <c r="T658" s="22"/>
      <c r="AZ658" s="34"/>
      <c r="BA658" s="34"/>
      <c r="BB658" s="34"/>
      <c r="BC658" s="34"/>
      <c r="BD658" s="34"/>
      <c r="BE658" s="34"/>
      <c r="BF658" s="34"/>
      <c r="BG658" s="34"/>
      <c r="BH658" s="34"/>
      <c r="BI658" s="34"/>
      <c r="BJ658" s="34"/>
      <c r="BK658" s="34"/>
      <c r="BL658" s="34"/>
      <c r="BM658" s="34"/>
      <c r="DX658" s="1471" t="e">
        <f t="shared" si="2"/>
        <v>#VALUE!</v>
      </c>
      <c r="DY658" s="1471"/>
      <c r="DZ658" s="1471"/>
      <c r="EA658" s="1471"/>
      <c r="EB658" s="1471"/>
      <c r="EC658" s="1471" t="e">
        <f t="shared" si="3"/>
        <v>#VALUE!</v>
      </c>
      <c r="ED658" s="1471"/>
      <c r="EE658" s="1471"/>
      <c r="EF658" s="1471"/>
      <c r="EG658" s="1471"/>
      <c r="EH658" s="1471" t="e">
        <f t="shared" si="4"/>
        <v>#VALUE!</v>
      </c>
      <c r="EI658" s="1471"/>
      <c r="EJ658" s="1471"/>
      <c r="EK658" s="1471"/>
      <c r="EL658" s="1471"/>
      <c r="EM658" s="1471" t="e">
        <f t="shared" si="5"/>
        <v>#VALUE!</v>
      </c>
      <c r="EN658" s="1471"/>
      <c r="EO658" s="1471"/>
      <c r="EP658" s="1471"/>
      <c r="EQ658" s="1471"/>
      <c r="ER658" s="1471" t="e">
        <f t="shared" si="6"/>
        <v>#VALUE!</v>
      </c>
      <c r="ES658" s="1471"/>
      <c r="ET658" s="1471"/>
      <c r="EU658" s="1471"/>
      <c r="EV658" s="1471"/>
      <c r="EW658" s="1471" t="e">
        <f t="shared" si="7"/>
        <v>#VALUE!</v>
      </c>
      <c r="EX658" s="1471"/>
      <c r="EY658" s="1471"/>
      <c r="EZ658" s="1471"/>
      <c r="FA658" s="1471"/>
    </row>
    <row r="659" spans="1:157" ht="12.95" customHeight="1">
      <c r="A659" s="55" t="s">
        <v>762</v>
      </c>
      <c r="B659" t="s">
        <v>462</v>
      </c>
      <c r="G659" s="1350">
        <f>C631</f>
        <v>0</v>
      </c>
      <c r="H659" s="1350"/>
      <c r="I659" s="1350"/>
      <c r="J659" s="1350"/>
      <c r="K659" s="1350"/>
      <c r="L659" s="1350"/>
      <c r="M659" s="1350"/>
      <c r="N659" s="1350"/>
      <c r="O659" s="1350"/>
      <c r="P659" s="1350"/>
      <c r="Q659" s="1350"/>
      <c r="R659" s="1350"/>
      <c r="T659" s="55" t="s">
        <v>583</v>
      </c>
      <c r="U659" t="s">
        <v>462</v>
      </c>
      <c r="Z659" s="1350">
        <f>C632</f>
        <v>0</v>
      </c>
      <c r="AA659" s="1350"/>
      <c r="AB659" s="1350"/>
      <c r="AC659" s="1350"/>
      <c r="AD659" s="1350"/>
      <c r="AE659" s="1350"/>
      <c r="AF659" s="1350"/>
      <c r="AG659" s="1350"/>
      <c r="AH659" s="1350"/>
      <c r="AI659" s="1350"/>
      <c r="AJ659" s="1350"/>
      <c r="AK659" s="1350"/>
      <c r="AZ659" s="34"/>
      <c r="BA659" s="34"/>
      <c r="BB659" s="34"/>
      <c r="BC659" s="34"/>
      <c r="BD659" s="34"/>
      <c r="BE659" s="34"/>
      <c r="BF659" s="34"/>
      <c r="BG659" s="34"/>
      <c r="BH659" s="34"/>
      <c r="BI659" s="34"/>
      <c r="BJ659" s="34"/>
      <c r="BK659" s="34"/>
      <c r="BL659" s="34"/>
      <c r="BM659" s="34"/>
      <c r="DX659" s="1471" t="e">
        <f t="shared" si="2"/>
        <v>#VALUE!</v>
      </c>
      <c r="DY659" s="1471"/>
      <c r="DZ659" s="1471"/>
      <c r="EA659" s="1471"/>
      <c r="EB659" s="1471"/>
      <c r="EC659" s="1471" t="e">
        <f t="shared" si="3"/>
        <v>#VALUE!</v>
      </c>
      <c r="ED659" s="1471"/>
      <c r="EE659" s="1471"/>
      <c r="EF659" s="1471"/>
      <c r="EG659" s="1471"/>
      <c r="EH659" s="1471" t="e">
        <f t="shared" si="4"/>
        <v>#VALUE!</v>
      </c>
      <c r="EI659" s="1471"/>
      <c r="EJ659" s="1471"/>
      <c r="EK659" s="1471"/>
      <c r="EL659" s="1471"/>
      <c r="EM659" s="1471" t="e">
        <f t="shared" si="5"/>
        <v>#VALUE!</v>
      </c>
      <c r="EN659" s="1471"/>
      <c r="EO659" s="1471"/>
      <c r="EP659" s="1471"/>
      <c r="EQ659" s="1471"/>
      <c r="ER659" s="1471" t="e">
        <f t="shared" si="6"/>
        <v>#VALUE!</v>
      </c>
      <c r="ES659" s="1471"/>
      <c r="ET659" s="1471"/>
      <c r="EU659" s="1471"/>
      <c r="EV659" s="1471"/>
      <c r="EW659" s="1471" t="e">
        <f t="shared" si="7"/>
        <v>#VALUE!</v>
      </c>
      <c r="EX659" s="1471"/>
      <c r="EY659" s="1471"/>
      <c r="EZ659" s="1471"/>
      <c r="FA659" s="1471"/>
    </row>
    <row r="660" spans="1:157" ht="12.95" customHeight="1">
      <c r="A660" s="22"/>
      <c r="B660" t="s">
        <v>85</v>
      </c>
      <c r="G660" s="1355"/>
      <c r="H660" s="1355"/>
      <c r="I660" s="1355"/>
      <c r="J660" s="1355"/>
      <c r="K660" s="1355"/>
      <c r="L660" s="1355"/>
      <c r="M660" s="1355"/>
      <c r="N660" s="1355"/>
      <c r="O660" s="1355"/>
      <c r="P660" s="1355"/>
      <c r="Q660" s="1355"/>
      <c r="R660" s="1355"/>
      <c r="T660" s="22"/>
      <c r="U660" t="s">
        <v>85</v>
      </c>
      <c r="Z660" s="1355"/>
      <c r="AA660" s="1355"/>
      <c r="AB660" s="1355"/>
      <c r="AC660" s="1355"/>
      <c r="AD660" s="1355"/>
      <c r="AE660" s="1355"/>
      <c r="AF660" s="1355"/>
      <c r="AG660" s="1355"/>
      <c r="AH660" s="1355"/>
      <c r="AI660" s="1355"/>
      <c r="AJ660" s="1355"/>
      <c r="AK660" s="1355"/>
      <c r="AZ660" s="34"/>
      <c r="BA660" s="34"/>
      <c r="BB660" s="34"/>
      <c r="BC660" s="34"/>
      <c r="BD660" s="34"/>
      <c r="BE660" s="34"/>
      <c r="BF660" s="34"/>
      <c r="BG660" s="34"/>
      <c r="BH660" s="34"/>
      <c r="BI660" s="34"/>
      <c r="BJ660" s="34"/>
      <c r="BK660" s="34"/>
      <c r="BL660" s="34"/>
      <c r="BM660" s="34"/>
      <c r="DX660" s="1471" t="e">
        <f t="shared" si="2"/>
        <v>#VALUE!</v>
      </c>
      <c r="DY660" s="1471"/>
      <c r="DZ660" s="1471"/>
      <c r="EA660" s="1471"/>
      <c r="EB660" s="1471"/>
      <c r="EC660" s="1471" t="e">
        <f t="shared" si="3"/>
        <v>#VALUE!</v>
      </c>
      <c r="ED660" s="1471"/>
      <c r="EE660" s="1471"/>
      <c r="EF660" s="1471"/>
      <c r="EG660" s="1471"/>
      <c r="EH660" s="1471" t="e">
        <f t="shared" si="4"/>
        <v>#VALUE!</v>
      </c>
      <c r="EI660" s="1471"/>
      <c r="EJ660" s="1471"/>
      <c r="EK660" s="1471"/>
      <c r="EL660" s="1471"/>
      <c r="EM660" s="1471" t="e">
        <f t="shared" si="5"/>
        <v>#VALUE!</v>
      </c>
      <c r="EN660" s="1471"/>
      <c r="EO660" s="1471"/>
      <c r="EP660" s="1471"/>
      <c r="EQ660" s="1471"/>
      <c r="ER660" s="1471" t="e">
        <f t="shared" si="6"/>
        <v>#VALUE!</v>
      </c>
      <c r="ES660" s="1471"/>
      <c r="ET660" s="1471"/>
      <c r="EU660" s="1471"/>
      <c r="EV660" s="1471"/>
      <c r="EW660" s="1471" t="e">
        <f t="shared" si="7"/>
        <v>#VALUE!</v>
      </c>
      <c r="EX660" s="1471"/>
      <c r="EY660" s="1471"/>
      <c r="EZ660" s="1471"/>
      <c r="FA660" s="1471"/>
    </row>
    <row r="661" spans="1:157" ht="12.95" customHeight="1">
      <c r="A661" s="22"/>
      <c r="B661" t="s">
        <v>579</v>
      </c>
      <c r="G661" s="1355"/>
      <c r="H661" s="1355"/>
      <c r="I661" s="1355"/>
      <c r="J661" s="1355"/>
      <c r="K661" s="1355"/>
      <c r="L661" s="1355"/>
      <c r="M661" s="1355"/>
      <c r="N661" s="1355"/>
      <c r="O661" s="1355"/>
      <c r="P661" s="1355"/>
      <c r="Q661" s="1355"/>
      <c r="R661" s="1355"/>
      <c r="T661" s="22"/>
      <c r="U661" t="s">
        <v>579</v>
      </c>
      <c r="Z661" s="1454"/>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DX661" s="1471" t="e">
        <f t="shared" si="2"/>
        <v>#VALUE!</v>
      </c>
      <c r="DY661" s="1471"/>
      <c r="DZ661" s="1471"/>
      <c r="EA661" s="1471"/>
      <c r="EB661" s="1471"/>
      <c r="EC661" s="1471" t="e">
        <f t="shared" si="3"/>
        <v>#VALUE!</v>
      </c>
      <c r="ED661" s="1471"/>
      <c r="EE661" s="1471"/>
      <c r="EF661" s="1471"/>
      <c r="EG661" s="1471"/>
      <c r="EH661" s="1471" t="e">
        <f t="shared" si="4"/>
        <v>#VALUE!</v>
      </c>
      <c r="EI661" s="1471"/>
      <c r="EJ661" s="1471"/>
      <c r="EK661" s="1471"/>
      <c r="EL661" s="1471"/>
      <c r="EM661" s="1471" t="e">
        <f t="shared" si="5"/>
        <v>#VALUE!</v>
      </c>
      <c r="EN661" s="1471"/>
      <c r="EO661" s="1471"/>
      <c r="EP661" s="1471"/>
      <c r="EQ661" s="1471"/>
      <c r="ER661" s="1471" t="e">
        <f t="shared" si="6"/>
        <v>#VALUE!</v>
      </c>
      <c r="ES661" s="1471"/>
      <c r="ET661" s="1471"/>
      <c r="EU661" s="1471"/>
      <c r="EV661" s="1471"/>
      <c r="EW661" s="1471" t="e">
        <f t="shared" si="7"/>
        <v>#VALUE!</v>
      </c>
      <c r="EX661" s="1471"/>
      <c r="EY661" s="1471"/>
      <c r="EZ661" s="1471"/>
      <c r="FA661" s="1471"/>
    </row>
    <row r="662" spans="1:157" ht="12.95" customHeight="1">
      <c r="A662" s="22"/>
      <c r="B662" t="s">
        <v>17</v>
      </c>
      <c r="G662" s="1355"/>
      <c r="H662" s="1355"/>
      <c r="I662" s="1355"/>
      <c r="J662" s="1355"/>
      <c r="K662" s="1355"/>
      <c r="L662" s="1355"/>
      <c r="M662" s="1355"/>
      <c r="N662" s="1355"/>
      <c r="O662" s="1355"/>
      <c r="P662" s="1355"/>
      <c r="Q662" s="1355"/>
      <c r="R662" s="1355"/>
      <c r="T662" s="22"/>
      <c r="U662" t="s">
        <v>17</v>
      </c>
      <c r="Z662" s="1454"/>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1" t="e">
        <f t="shared" si="2"/>
        <v>#VALUE!</v>
      </c>
      <c r="DY662" s="1471"/>
      <c r="DZ662" s="1471"/>
      <c r="EA662" s="1471"/>
      <c r="EB662" s="1471"/>
      <c r="EC662" s="1471" t="e">
        <f t="shared" si="3"/>
        <v>#VALUE!</v>
      </c>
      <c r="ED662" s="1471"/>
      <c r="EE662" s="1471"/>
      <c r="EF662" s="1471"/>
      <c r="EG662" s="1471"/>
      <c r="EH662" s="1471" t="e">
        <f t="shared" si="4"/>
        <v>#VALUE!</v>
      </c>
      <c r="EI662" s="1471"/>
      <c r="EJ662" s="1471"/>
      <c r="EK662" s="1471"/>
      <c r="EL662" s="1471"/>
      <c r="EM662" s="1471" t="e">
        <f t="shared" si="5"/>
        <v>#VALUE!</v>
      </c>
      <c r="EN662" s="1471"/>
      <c r="EO662" s="1471"/>
      <c r="EP662" s="1471"/>
      <c r="EQ662" s="1471"/>
      <c r="ER662" s="1471" t="e">
        <f t="shared" si="6"/>
        <v>#VALUE!</v>
      </c>
      <c r="ES662" s="1471"/>
      <c r="ET662" s="1471"/>
      <c r="EU662" s="1471"/>
      <c r="EV662" s="1471"/>
      <c r="EW662" s="1471" t="e">
        <f t="shared" si="7"/>
        <v>#VALUE!</v>
      </c>
      <c r="EX662" s="1471"/>
      <c r="EY662" s="1471"/>
      <c r="EZ662" s="1471"/>
      <c r="FA662" s="1471"/>
    </row>
    <row r="663" spans="1:157" ht="12.95" customHeight="1">
      <c r="A663" s="22"/>
      <c r="B663" t="s">
        <v>315</v>
      </c>
      <c r="G663" s="1420"/>
      <c r="H663" s="1420"/>
      <c r="I663" s="1420"/>
      <c r="J663" s="1420"/>
      <c r="K663" s="1420"/>
      <c r="L663" s="1420"/>
      <c r="O663" s="33" t="s">
        <v>205</v>
      </c>
      <c r="P663" s="1354"/>
      <c r="Q663" s="1354"/>
      <c r="R663" s="1354"/>
      <c r="T663" s="22"/>
      <c r="U663" t="s">
        <v>315</v>
      </c>
      <c r="Z663" s="1420"/>
      <c r="AA663" s="1420"/>
      <c r="AB663" s="1420"/>
      <c r="AC663" s="1420"/>
      <c r="AD663" s="1420"/>
      <c r="AE663" s="1420"/>
      <c r="AH663" s="33" t="s">
        <v>205</v>
      </c>
      <c r="AI663" s="1354"/>
      <c r="AJ663" s="1354"/>
      <c r="AK663" s="135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1" t="e">
        <f t="shared" si="2"/>
        <v>#VALUE!</v>
      </c>
      <c r="DY663" s="1471"/>
      <c r="DZ663" s="1471"/>
      <c r="EA663" s="1471"/>
      <c r="EB663" s="1471"/>
      <c r="EC663" s="1471" t="e">
        <f t="shared" si="3"/>
        <v>#VALUE!</v>
      </c>
      <c r="ED663" s="1471"/>
      <c r="EE663" s="1471"/>
      <c r="EF663" s="1471"/>
      <c r="EG663" s="1471"/>
      <c r="EH663" s="1471" t="e">
        <f t="shared" si="4"/>
        <v>#VALUE!</v>
      </c>
      <c r="EI663" s="1471"/>
      <c r="EJ663" s="1471"/>
      <c r="EK663" s="1471"/>
      <c r="EL663" s="1471"/>
      <c r="EM663" s="1471" t="e">
        <f t="shared" si="5"/>
        <v>#VALUE!</v>
      </c>
      <c r="EN663" s="1471"/>
      <c r="EO663" s="1471"/>
      <c r="EP663" s="1471"/>
      <c r="EQ663" s="1471"/>
      <c r="ER663" s="1471" t="e">
        <f t="shared" si="6"/>
        <v>#VALUE!</v>
      </c>
      <c r="ES663" s="1471"/>
      <c r="ET663" s="1471"/>
      <c r="EU663" s="1471"/>
      <c r="EV663" s="1471"/>
      <c r="EW663" s="1471" t="e">
        <f t="shared" si="7"/>
        <v>#VALUE!</v>
      </c>
      <c r="EX663" s="1471"/>
      <c r="EY663" s="1471"/>
      <c r="EZ663" s="1471"/>
      <c r="FA663" s="1471"/>
    </row>
    <row r="664" spans="1:157" ht="12.95" customHeight="1">
      <c r="A664" s="22"/>
      <c r="B664" t="s">
        <v>18</v>
      </c>
      <c r="H664" s="1355"/>
      <c r="I664" s="1355"/>
      <c r="J664" s="1355"/>
      <c r="K664" s="1355"/>
      <c r="L664" s="1355"/>
      <c r="M664" s="1355"/>
      <c r="N664" s="1355"/>
      <c r="O664" s="1355"/>
      <c r="P664" s="1355"/>
      <c r="Q664" s="1355"/>
      <c r="R664" s="1355"/>
      <c r="T664" s="22"/>
      <c r="U664" t="s">
        <v>18</v>
      </c>
      <c r="AA664" s="1355"/>
      <c r="AB664" s="1355"/>
      <c r="AC664" s="1355"/>
      <c r="AD664" s="1355"/>
      <c r="AE664" s="1355"/>
      <c r="AF664" s="1355"/>
      <c r="AG664" s="1355"/>
      <c r="AH664" s="1355"/>
      <c r="AI664" s="1355"/>
      <c r="AJ664" s="1355"/>
      <c r="AK664" s="135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1" t="e">
        <f t="shared" si="2"/>
        <v>#VALUE!</v>
      </c>
      <c r="DY664" s="1471"/>
      <c r="DZ664" s="1471"/>
      <c r="EA664" s="1471"/>
      <c r="EB664" s="1471"/>
      <c r="EC664" s="1471" t="e">
        <f t="shared" si="3"/>
        <v>#VALUE!</v>
      </c>
      <c r="ED664" s="1471"/>
      <c r="EE664" s="1471"/>
      <c r="EF664" s="1471"/>
      <c r="EG664" s="1471"/>
      <c r="EH664" s="1471" t="e">
        <f t="shared" si="4"/>
        <v>#VALUE!</v>
      </c>
      <c r="EI664" s="1471"/>
      <c r="EJ664" s="1471"/>
      <c r="EK664" s="1471"/>
      <c r="EL664" s="1471"/>
      <c r="EM664" s="1471" t="e">
        <f t="shared" si="5"/>
        <v>#VALUE!</v>
      </c>
      <c r="EN664" s="1471"/>
      <c r="EO664" s="1471"/>
      <c r="EP664" s="1471"/>
      <c r="EQ664" s="1471"/>
      <c r="ER664" s="1471" t="e">
        <f t="shared" si="6"/>
        <v>#VALUE!</v>
      </c>
      <c r="ES664" s="1471"/>
      <c r="ET664" s="1471"/>
      <c r="EU664" s="1471"/>
      <c r="EV664" s="1471"/>
      <c r="EW664" s="1471" t="e">
        <f t="shared" si="7"/>
        <v>#VALUE!</v>
      </c>
      <c r="EX664" s="1471"/>
      <c r="EY664" s="1471"/>
      <c r="EZ664" s="1471"/>
      <c r="FA664" s="1471"/>
    </row>
    <row r="665" spans="1:157" ht="12.95" customHeight="1">
      <c r="A665" s="22"/>
      <c r="B665" t="s">
        <v>20</v>
      </c>
      <c r="N665" s="1333" t="s">
        <v>668</v>
      </c>
      <c r="O665" s="1333"/>
      <c r="T665" s="22"/>
      <c r="U665" t="s">
        <v>20</v>
      </c>
      <c r="AG665" s="1333" t="s">
        <v>668</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1" t="e">
        <f t="shared" si="2"/>
        <v>#VALUE!</v>
      </c>
      <c r="DY665" s="1471"/>
      <c r="DZ665" s="1471"/>
      <c r="EA665" s="1471"/>
      <c r="EB665" s="1471"/>
      <c r="EC665" s="1471" t="e">
        <f t="shared" si="3"/>
        <v>#VALUE!</v>
      </c>
      <c r="ED665" s="1471"/>
      <c r="EE665" s="1471"/>
      <c r="EF665" s="1471"/>
      <c r="EG665" s="1471"/>
      <c r="EH665" s="1471" t="e">
        <f t="shared" si="4"/>
        <v>#VALUE!</v>
      </c>
      <c r="EI665" s="1471"/>
      <c r="EJ665" s="1471"/>
      <c r="EK665" s="1471"/>
      <c r="EL665" s="1471"/>
      <c r="EM665" s="1471" t="e">
        <f t="shared" si="5"/>
        <v>#VALUE!</v>
      </c>
      <c r="EN665" s="1471"/>
      <c r="EO665" s="1471"/>
      <c r="EP665" s="1471"/>
      <c r="EQ665" s="1471"/>
      <c r="ER665" s="1471" t="e">
        <f t="shared" si="6"/>
        <v>#VALUE!</v>
      </c>
      <c r="ES665" s="1471"/>
      <c r="ET665" s="1471"/>
      <c r="EU665" s="1471"/>
      <c r="EV665" s="1471"/>
      <c r="EW665" s="1471" t="e">
        <f t="shared" si="7"/>
        <v>#VALUE!</v>
      </c>
      <c r="EX665" s="1471"/>
      <c r="EY665" s="1471"/>
      <c r="EZ665" s="1471"/>
      <c r="FA665" s="14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1" t="e">
        <f t="shared" si="2"/>
        <v>#VALUE!</v>
      </c>
      <c r="DY666" s="1471"/>
      <c r="DZ666" s="1471"/>
      <c r="EA666" s="1471"/>
      <c r="EB666" s="1471"/>
      <c r="EC666" s="1471" t="e">
        <f t="shared" si="3"/>
        <v>#VALUE!</v>
      </c>
      <c r="ED666" s="1471"/>
      <c r="EE666" s="1471"/>
      <c r="EF666" s="1471"/>
      <c r="EG666" s="1471"/>
      <c r="EH666" s="1471" t="e">
        <f t="shared" si="4"/>
        <v>#VALUE!</v>
      </c>
      <c r="EI666" s="1471"/>
      <c r="EJ666" s="1471"/>
      <c r="EK666" s="1471"/>
      <c r="EL666" s="1471"/>
      <c r="EM666" s="1471" t="e">
        <f t="shared" si="5"/>
        <v>#VALUE!</v>
      </c>
      <c r="EN666" s="1471"/>
      <c r="EO666" s="1471"/>
      <c r="EP666" s="1471"/>
      <c r="EQ666" s="1471"/>
      <c r="ER666" s="1471" t="e">
        <f t="shared" si="6"/>
        <v>#VALUE!</v>
      </c>
      <c r="ES666" s="1471"/>
      <c r="ET666" s="1471"/>
      <c r="EU666" s="1471"/>
      <c r="EV666" s="1471"/>
      <c r="EW666" s="1471" t="e">
        <f t="shared" si="7"/>
        <v>#VALUE!</v>
      </c>
      <c r="EX666" s="1471"/>
      <c r="EY666" s="1471"/>
      <c r="EZ666" s="1471"/>
      <c r="FA666" s="1471"/>
    </row>
    <row r="667" spans="1:157" ht="12.95" customHeight="1">
      <c r="A667" s="55" t="s">
        <v>454</v>
      </c>
      <c r="B667" t="s">
        <v>462</v>
      </c>
      <c r="G667" s="1350">
        <f>C633</f>
        <v>0</v>
      </c>
      <c r="H667" s="1350"/>
      <c r="I667" s="1350"/>
      <c r="J667" s="1350"/>
      <c r="K667" s="1350"/>
      <c r="L667" s="1350"/>
      <c r="M667" s="1350"/>
      <c r="N667" s="1350"/>
      <c r="O667" s="1350"/>
      <c r="P667" s="1350"/>
      <c r="Q667" s="1350"/>
      <c r="R667" s="1350"/>
      <c r="T667" s="55" t="s">
        <v>455</v>
      </c>
      <c r="U667" t="s">
        <v>462</v>
      </c>
      <c r="Z667" s="1350">
        <f>C634</f>
        <v>0</v>
      </c>
      <c r="AA667" s="1350"/>
      <c r="AB667" s="1350"/>
      <c r="AC667" s="1350"/>
      <c r="AD667" s="1350"/>
      <c r="AE667" s="1350"/>
      <c r="AF667" s="1350"/>
      <c r="AG667" s="1350"/>
      <c r="AH667" s="1350"/>
      <c r="AI667" s="1350"/>
      <c r="AJ667" s="1350"/>
      <c r="AK667" s="135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1" t="e">
        <f t="shared" si="2"/>
        <v>#VALUE!</v>
      </c>
      <c r="DY667" s="1471"/>
      <c r="DZ667" s="1471"/>
      <c r="EA667" s="1471"/>
      <c r="EB667" s="1471"/>
      <c r="EC667" s="1471" t="e">
        <f t="shared" si="3"/>
        <v>#VALUE!</v>
      </c>
      <c r="ED667" s="1471"/>
      <c r="EE667" s="1471"/>
      <c r="EF667" s="1471"/>
      <c r="EG667" s="1471"/>
      <c r="EH667" s="1471" t="e">
        <f t="shared" si="4"/>
        <v>#VALUE!</v>
      </c>
      <c r="EI667" s="1471"/>
      <c r="EJ667" s="1471"/>
      <c r="EK667" s="1471"/>
      <c r="EL667" s="1471"/>
      <c r="EM667" s="1471" t="e">
        <f t="shared" si="5"/>
        <v>#VALUE!</v>
      </c>
      <c r="EN667" s="1471"/>
      <c r="EO667" s="1471"/>
      <c r="EP667" s="1471"/>
      <c r="EQ667" s="1471"/>
      <c r="ER667" s="1471" t="e">
        <f t="shared" si="6"/>
        <v>#VALUE!</v>
      </c>
      <c r="ES667" s="1471"/>
      <c r="ET667" s="1471"/>
      <c r="EU667" s="1471"/>
      <c r="EV667" s="1471"/>
      <c r="EW667" s="1471" t="e">
        <f t="shared" si="7"/>
        <v>#VALUE!</v>
      </c>
      <c r="EX667" s="1471"/>
      <c r="EY667" s="1471"/>
      <c r="EZ667" s="1471"/>
      <c r="FA667" s="1471"/>
    </row>
    <row r="668" spans="1:157" ht="12.95" customHeight="1">
      <c r="A668" s="22"/>
      <c r="B668" t="s">
        <v>85</v>
      </c>
      <c r="G668" s="1355"/>
      <c r="H668" s="1355"/>
      <c r="I668" s="1355"/>
      <c r="J668" s="1355"/>
      <c r="K668" s="1355"/>
      <c r="L668" s="1355"/>
      <c r="M668" s="1355"/>
      <c r="N668" s="1355"/>
      <c r="O668" s="1355"/>
      <c r="P668" s="1355"/>
      <c r="Q668" s="1355"/>
      <c r="R668" s="1355"/>
      <c r="T668" s="22"/>
      <c r="U668" t="s">
        <v>85</v>
      </c>
      <c r="Z668" s="1355"/>
      <c r="AA668" s="1355"/>
      <c r="AB668" s="1355"/>
      <c r="AC668" s="1355"/>
      <c r="AD668" s="1355"/>
      <c r="AE668" s="1355"/>
      <c r="AF668" s="1355"/>
      <c r="AG668" s="1355"/>
      <c r="AH668" s="1355"/>
      <c r="AI668" s="1355"/>
      <c r="AJ668" s="1355"/>
      <c r="AK668" s="135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1" t="e">
        <f t="shared" si="2"/>
        <v>#VALUE!</v>
      </c>
      <c r="DY668" s="1471"/>
      <c r="DZ668" s="1471"/>
      <c r="EA668" s="1471"/>
      <c r="EB668" s="1471"/>
      <c r="EC668" s="1471" t="e">
        <f t="shared" si="3"/>
        <v>#VALUE!</v>
      </c>
      <c r="ED668" s="1471"/>
      <c r="EE668" s="1471"/>
      <c r="EF668" s="1471"/>
      <c r="EG668" s="1471"/>
      <c r="EH668" s="1471" t="e">
        <f t="shared" si="4"/>
        <v>#VALUE!</v>
      </c>
      <c r="EI668" s="1471"/>
      <c r="EJ668" s="1471"/>
      <c r="EK668" s="1471"/>
      <c r="EL668" s="1471"/>
      <c r="EM668" s="1471" t="e">
        <f t="shared" si="5"/>
        <v>#VALUE!</v>
      </c>
      <c r="EN668" s="1471"/>
      <c r="EO668" s="1471"/>
      <c r="EP668" s="1471"/>
      <c r="EQ668" s="1471"/>
      <c r="ER668" s="1471" t="e">
        <f t="shared" si="6"/>
        <v>#VALUE!</v>
      </c>
      <c r="ES668" s="1471"/>
      <c r="ET668" s="1471"/>
      <c r="EU668" s="1471"/>
      <c r="EV668" s="1471"/>
      <c r="EW668" s="1471" t="e">
        <f t="shared" si="7"/>
        <v>#VALUE!</v>
      </c>
      <c r="EX668" s="1471"/>
      <c r="EY668" s="1471"/>
      <c r="EZ668" s="1471"/>
      <c r="FA668" s="1471"/>
    </row>
    <row r="669" spans="1:157" ht="12.95" customHeight="1">
      <c r="A669" s="22"/>
      <c r="B669" t="s">
        <v>579</v>
      </c>
      <c r="G669" s="1355"/>
      <c r="H669" s="1355"/>
      <c r="I669" s="1355"/>
      <c r="J669" s="1355"/>
      <c r="K669" s="1355"/>
      <c r="L669" s="1355"/>
      <c r="M669" s="1355"/>
      <c r="N669" s="1355"/>
      <c r="O669" s="1355"/>
      <c r="P669" s="1355"/>
      <c r="Q669" s="1355"/>
      <c r="R669" s="1355"/>
      <c r="T669" s="22"/>
      <c r="U669" t="s">
        <v>579</v>
      </c>
      <c r="Z669" s="1454"/>
      <c r="AA669" s="1454"/>
      <c r="AB669" s="1454"/>
      <c r="AC669" s="1454"/>
      <c r="AD669" s="1454"/>
      <c r="AE669" s="1454"/>
      <c r="AF669" s="1454"/>
      <c r="AG669" s="1454"/>
      <c r="AH669" s="1454"/>
      <c r="AI669" s="1454"/>
      <c r="AJ669" s="1454"/>
      <c r="AK669" s="145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1" t="e">
        <f t="shared" si="2"/>
        <v>#VALUE!</v>
      </c>
      <c r="DY669" s="1471"/>
      <c r="DZ669" s="1471"/>
      <c r="EA669" s="1471"/>
      <c r="EB669" s="1471"/>
      <c r="EC669" s="1471" t="e">
        <f t="shared" si="3"/>
        <v>#VALUE!</v>
      </c>
      <c r="ED669" s="1471"/>
      <c r="EE669" s="1471"/>
      <c r="EF669" s="1471"/>
      <c r="EG669" s="1471"/>
      <c r="EH669" s="1471" t="e">
        <f t="shared" si="4"/>
        <v>#VALUE!</v>
      </c>
      <c r="EI669" s="1471"/>
      <c r="EJ669" s="1471"/>
      <c r="EK669" s="1471"/>
      <c r="EL669" s="1471"/>
      <c r="EM669" s="1471" t="e">
        <f t="shared" si="5"/>
        <v>#VALUE!</v>
      </c>
      <c r="EN669" s="1471"/>
      <c r="EO669" s="1471"/>
      <c r="EP669" s="1471"/>
      <c r="EQ669" s="1471"/>
      <c r="ER669" s="1471" t="e">
        <f t="shared" si="6"/>
        <v>#VALUE!</v>
      </c>
      <c r="ES669" s="1471"/>
      <c r="ET669" s="1471"/>
      <c r="EU669" s="1471"/>
      <c r="EV669" s="1471"/>
      <c r="EW669" s="1471" t="e">
        <f t="shared" si="7"/>
        <v>#VALUE!</v>
      </c>
      <c r="EX669" s="1471"/>
      <c r="EY669" s="1471"/>
      <c r="EZ669" s="1471"/>
      <c r="FA669" s="1471"/>
    </row>
    <row r="670" spans="1:157" ht="12.95" customHeight="1">
      <c r="A670" s="22"/>
      <c r="B670" t="s">
        <v>17</v>
      </c>
      <c r="G670" s="1355"/>
      <c r="H670" s="1355"/>
      <c r="I670" s="1355"/>
      <c r="J670" s="1355"/>
      <c r="K670" s="1355"/>
      <c r="L670" s="1355"/>
      <c r="M670" s="1355"/>
      <c r="N670" s="1355"/>
      <c r="O670" s="1355"/>
      <c r="P670" s="1355"/>
      <c r="Q670" s="1355"/>
      <c r="R670" s="1355"/>
      <c r="T670" s="22"/>
      <c r="U670" t="s">
        <v>17</v>
      </c>
      <c r="Z670" s="1454"/>
      <c r="AA670" s="1454"/>
      <c r="AB670" s="1454"/>
      <c r="AC670" s="1454"/>
      <c r="AD670" s="1454"/>
      <c r="AE670" s="1454"/>
      <c r="AF670" s="1454"/>
      <c r="AG670" s="1454"/>
      <c r="AH670" s="1454"/>
      <c r="AI670" s="1454"/>
      <c r="AJ670" s="1454"/>
      <c r="AK670" s="145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1">
        <f>SUMIF(DX635:EB669,"&gt;0")</f>
        <v>764</v>
      </c>
      <c r="DY670" s="1471"/>
      <c r="DZ670" s="1471"/>
      <c r="EA670" s="1471"/>
      <c r="EB670" s="1471"/>
      <c r="EC670" s="1471">
        <f>SUMIF(EC635:EG669,"&gt;0")</f>
        <v>1298.1111111111111</v>
      </c>
      <c r="ED670" s="1471"/>
      <c r="EE670" s="1471"/>
      <c r="EF670" s="1471"/>
      <c r="EG670" s="1471"/>
      <c r="EH670" s="1471">
        <f>SUMIF(EH635:EL669,"&gt;0")</f>
        <v>2049.757575757576</v>
      </c>
      <c r="EI670" s="1471"/>
      <c r="EJ670" s="1471"/>
      <c r="EK670" s="1471"/>
      <c r="EL670" s="1471"/>
      <c r="EM670" s="1471">
        <f>SUMIF(EM635:EQ669,"&gt;0")</f>
        <v>2603.4540540540538</v>
      </c>
      <c r="EN670" s="1471"/>
      <c r="EO670" s="1471"/>
      <c r="EP670" s="1471"/>
      <c r="EQ670" s="1471"/>
      <c r="ER670" s="1471">
        <f>SUMIF(ER635:EV669,"&gt;0")</f>
        <v>0</v>
      </c>
      <c r="ES670" s="1471"/>
      <c r="ET670" s="1471"/>
      <c r="EU670" s="1471"/>
      <c r="EV670" s="1471"/>
      <c r="EW670" s="1471">
        <f>SUMIF(EW635:FA669,"&gt;0")</f>
        <v>0</v>
      </c>
      <c r="EX670" s="1471"/>
      <c r="EY670" s="1471"/>
      <c r="EZ670" s="1471"/>
      <c r="FA670" s="1471"/>
    </row>
    <row r="671" spans="1:157" ht="12.95" customHeight="1">
      <c r="A671" s="22"/>
      <c r="B671" t="s">
        <v>315</v>
      </c>
      <c r="G671" s="1420"/>
      <c r="H671" s="1420"/>
      <c r="I671" s="1420"/>
      <c r="J671" s="1420"/>
      <c r="K671" s="1420"/>
      <c r="L671" s="1420"/>
      <c r="O671" s="33" t="s">
        <v>205</v>
      </c>
      <c r="P671" s="1354"/>
      <c r="Q671" s="1354"/>
      <c r="R671" s="1354"/>
      <c r="T671" s="22"/>
      <c r="U671" t="s">
        <v>315</v>
      </c>
      <c r="Z671" s="1420"/>
      <c r="AA671" s="1420"/>
      <c r="AB671" s="1420"/>
      <c r="AC671" s="1420"/>
      <c r="AD671" s="1420"/>
      <c r="AE671" s="1420"/>
      <c r="AH671" s="33" t="s">
        <v>205</v>
      </c>
      <c r="AI671" s="1354"/>
      <c r="AJ671" s="1354"/>
      <c r="AK671" s="135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5"/>
      <c r="I672" s="1355"/>
      <c r="J672" s="1355"/>
      <c r="K672" s="1355"/>
      <c r="L672" s="1355"/>
      <c r="M672" s="1355"/>
      <c r="N672" s="1355"/>
      <c r="O672" s="1355"/>
      <c r="P672" s="1355"/>
      <c r="Q672" s="1355"/>
      <c r="R672" s="1355"/>
      <c r="T672" s="22"/>
      <c r="U672" t="s">
        <v>18</v>
      </c>
      <c r="AA672" s="1355"/>
      <c r="AB672" s="1355"/>
      <c r="AC672" s="1355"/>
      <c r="AD672" s="1355"/>
      <c r="AE672" s="1355"/>
      <c r="AF672" s="1355"/>
      <c r="AG672" s="1355"/>
      <c r="AH672" s="1355"/>
      <c r="AI672" s="1355"/>
      <c r="AJ672" s="1355"/>
      <c r="AK672" s="135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668</v>
      </c>
      <c r="O673" s="1333"/>
      <c r="T673" s="22"/>
      <c r="U673" t="s">
        <v>20</v>
      </c>
      <c r="AG673" s="1333" t="s">
        <v>668</v>
      </c>
      <c r="AH673" s="1333"/>
      <c r="AZ673" s="3"/>
    </row>
    <row r="674" spans="1:52" ht="12.95" customHeight="1">
      <c r="A674" s="22"/>
      <c r="T674" s="22"/>
      <c r="AZ674" s="3"/>
    </row>
    <row r="675" spans="1:52" ht="12.95" customHeight="1">
      <c r="A675" s="55" t="s">
        <v>460</v>
      </c>
      <c r="B675" t="s">
        <v>462</v>
      </c>
      <c r="G675" s="1350">
        <f>C635</f>
        <v>0</v>
      </c>
      <c r="H675" s="1350"/>
      <c r="I675" s="1350"/>
      <c r="J675" s="1350"/>
      <c r="K675" s="1350"/>
      <c r="L675" s="1350"/>
      <c r="M675" s="1350"/>
      <c r="N675" s="1350"/>
      <c r="O675" s="1350"/>
      <c r="P675" s="1350"/>
      <c r="Q675" s="1350"/>
      <c r="R675" s="1350"/>
      <c r="T675" s="55" t="s">
        <v>645</v>
      </c>
      <c r="U675" t="s">
        <v>462</v>
      </c>
      <c r="Z675" s="1350">
        <f>C636</f>
        <v>0</v>
      </c>
      <c r="AA675" s="1350"/>
      <c r="AB675" s="1350"/>
      <c r="AC675" s="1350"/>
      <c r="AD675" s="1350"/>
      <c r="AE675" s="1350"/>
      <c r="AF675" s="1350"/>
      <c r="AG675" s="1350"/>
      <c r="AH675" s="1350"/>
      <c r="AI675" s="1350"/>
      <c r="AJ675" s="1350"/>
      <c r="AK675" s="1350"/>
      <c r="AZ675" s="3"/>
    </row>
    <row r="676" spans="1:52" ht="12.95" customHeight="1">
      <c r="A676" s="22"/>
      <c r="B676" t="s">
        <v>85</v>
      </c>
      <c r="G676" s="1355"/>
      <c r="H676" s="1355"/>
      <c r="I676" s="1355"/>
      <c r="J676" s="1355"/>
      <c r="K676" s="1355"/>
      <c r="L676" s="1355"/>
      <c r="M676" s="1355"/>
      <c r="N676" s="1355"/>
      <c r="O676" s="1355"/>
      <c r="P676" s="1355"/>
      <c r="Q676" s="1355"/>
      <c r="R676" s="1355"/>
      <c r="T676" s="22"/>
      <c r="U676" t="s">
        <v>85</v>
      </c>
      <c r="Z676" s="1355"/>
      <c r="AA676" s="1355"/>
      <c r="AB676" s="1355"/>
      <c r="AC676" s="1355"/>
      <c r="AD676" s="1355"/>
      <c r="AE676" s="1355"/>
      <c r="AF676" s="1355"/>
      <c r="AG676" s="1355"/>
      <c r="AH676" s="1355"/>
      <c r="AI676" s="1355"/>
      <c r="AJ676" s="1355"/>
      <c r="AK676" s="1355"/>
      <c r="AZ676" s="3"/>
    </row>
    <row r="677" spans="1:52" ht="12.95" customHeight="1">
      <c r="A677" s="22"/>
      <c r="B677" t="s">
        <v>579</v>
      </c>
      <c r="G677" s="1355"/>
      <c r="H677" s="1355"/>
      <c r="I677" s="1355"/>
      <c r="J677" s="1355"/>
      <c r="K677" s="1355"/>
      <c r="L677" s="1355"/>
      <c r="M677" s="1355"/>
      <c r="N677" s="1355"/>
      <c r="O677" s="1355"/>
      <c r="P677" s="1355"/>
      <c r="Q677" s="1355"/>
      <c r="R677" s="1355"/>
      <c r="T677" s="22"/>
      <c r="U677" t="s">
        <v>579</v>
      </c>
      <c r="Z677" s="1454"/>
      <c r="AA677" s="1454"/>
      <c r="AB677" s="1454"/>
      <c r="AC677" s="1454"/>
      <c r="AD677" s="1454"/>
      <c r="AE677" s="1454"/>
      <c r="AF677" s="1454"/>
      <c r="AG677" s="1454"/>
      <c r="AH677" s="1454"/>
      <c r="AI677" s="1454"/>
      <c r="AJ677" s="1454"/>
      <c r="AK677" s="1454"/>
      <c r="AZ677" s="3"/>
    </row>
    <row r="678" spans="1:52" ht="12.95" customHeight="1">
      <c r="A678" s="22"/>
      <c r="B678" t="s">
        <v>17</v>
      </c>
      <c r="G678" s="1355"/>
      <c r="H678" s="1355"/>
      <c r="I678" s="1355"/>
      <c r="J678" s="1355"/>
      <c r="K678" s="1355"/>
      <c r="L678" s="1355"/>
      <c r="M678" s="1355"/>
      <c r="N678" s="1355"/>
      <c r="O678" s="1355"/>
      <c r="P678" s="1355"/>
      <c r="Q678" s="1355"/>
      <c r="R678" s="1355"/>
      <c r="T678" s="22"/>
      <c r="U678" t="s">
        <v>17</v>
      </c>
      <c r="Z678" s="1454"/>
      <c r="AA678" s="1454"/>
      <c r="AB678" s="1454"/>
      <c r="AC678" s="1454"/>
      <c r="AD678" s="1454"/>
      <c r="AE678" s="1454"/>
      <c r="AF678" s="1454"/>
      <c r="AG678" s="1454"/>
      <c r="AH678" s="1454"/>
      <c r="AI678" s="1454"/>
      <c r="AJ678" s="1454"/>
      <c r="AK678" s="1454"/>
      <c r="AZ678" s="3"/>
    </row>
    <row r="679" spans="1:52" ht="12.95" customHeight="1">
      <c r="A679" s="22"/>
      <c r="B679" t="s">
        <v>315</v>
      </c>
      <c r="G679" s="1420"/>
      <c r="H679" s="1420"/>
      <c r="I679" s="1420"/>
      <c r="J679" s="1420"/>
      <c r="K679" s="1420"/>
      <c r="L679" s="1420"/>
      <c r="O679" s="33" t="s">
        <v>205</v>
      </c>
      <c r="P679" s="1354"/>
      <c r="Q679" s="1354"/>
      <c r="R679" s="1354"/>
      <c r="T679" s="22"/>
      <c r="U679" t="s">
        <v>315</v>
      </c>
      <c r="Z679" s="1420"/>
      <c r="AA679" s="1420"/>
      <c r="AB679" s="1420"/>
      <c r="AC679" s="1420"/>
      <c r="AD679" s="1420"/>
      <c r="AE679" s="1420"/>
      <c r="AH679" s="33" t="s">
        <v>205</v>
      </c>
      <c r="AI679" s="1354"/>
      <c r="AJ679" s="1354"/>
      <c r="AK679" s="1354"/>
      <c r="AZ679" s="3"/>
    </row>
    <row r="680" spans="1:52" ht="12.95" customHeight="1">
      <c r="A680" s="22"/>
      <c r="B680" t="s">
        <v>18</v>
      </c>
      <c r="H680" s="1355"/>
      <c r="I680" s="1355"/>
      <c r="J680" s="1355"/>
      <c r="K680" s="1355"/>
      <c r="L680" s="1355"/>
      <c r="M680" s="1355"/>
      <c r="N680" s="1355"/>
      <c r="O680" s="1355"/>
      <c r="P680" s="1355"/>
      <c r="Q680" s="1355"/>
      <c r="R680" s="1355"/>
      <c r="T680" s="22"/>
      <c r="U680" t="s">
        <v>18</v>
      </c>
      <c r="AA680" s="1355"/>
      <c r="AB680" s="1355"/>
      <c r="AC680" s="1355"/>
      <c r="AD680" s="1355"/>
      <c r="AE680" s="1355"/>
      <c r="AF680" s="1355"/>
      <c r="AG680" s="1355"/>
      <c r="AH680" s="1355"/>
      <c r="AI680" s="1355"/>
      <c r="AJ680" s="1355"/>
      <c r="AK680" s="1355"/>
      <c r="AZ680" s="3"/>
    </row>
    <row r="681" spans="1:52" ht="12.95" customHeight="1">
      <c r="A681" s="22"/>
      <c r="B681" t="s">
        <v>20</v>
      </c>
      <c r="N681" s="1333" t="s">
        <v>668</v>
      </c>
      <c r="O681" s="1333"/>
      <c r="T681" s="22"/>
      <c r="U681" t="s">
        <v>20</v>
      </c>
      <c r="AG681" s="1333" t="s">
        <v>668</v>
      </c>
      <c r="AH681" s="1333"/>
      <c r="AZ681" s="3"/>
    </row>
    <row r="682" spans="1:52" ht="12.95" customHeight="1">
      <c r="A682" s="22"/>
      <c r="T682" s="22"/>
      <c r="AZ682" s="3"/>
    </row>
    <row r="683" spans="1:52" ht="12.95" customHeight="1">
      <c r="A683" s="55" t="s">
        <v>361</v>
      </c>
      <c r="B683" t="s">
        <v>462</v>
      </c>
      <c r="G683" s="1350">
        <f>C637</f>
        <v>0</v>
      </c>
      <c r="H683" s="1350"/>
      <c r="I683" s="1350"/>
      <c r="J683" s="1350"/>
      <c r="K683" s="1350"/>
      <c r="L683" s="1350"/>
      <c r="M683" s="1350"/>
      <c r="N683" s="1350"/>
      <c r="O683" s="1350"/>
      <c r="P683" s="1350"/>
      <c r="Q683" s="1350"/>
      <c r="R683" s="1350"/>
      <c r="T683" s="55" t="s">
        <v>362</v>
      </c>
      <c r="U683" t="s">
        <v>462</v>
      </c>
      <c r="Z683" s="1350">
        <f>C638</f>
        <v>0</v>
      </c>
      <c r="AA683" s="1350"/>
      <c r="AB683" s="1350"/>
      <c r="AC683" s="1350"/>
      <c r="AD683" s="1350"/>
      <c r="AE683" s="1350"/>
      <c r="AF683" s="1350"/>
      <c r="AG683" s="1350"/>
      <c r="AH683" s="1350"/>
      <c r="AI683" s="1350"/>
      <c r="AJ683" s="1350"/>
      <c r="AK683" s="1350"/>
      <c r="AZ683" s="3"/>
    </row>
    <row r="684" spans="1:52" ht="12.95" customHeight="1">
      <c r="B684" t="s">
        <v>85</v>
      </c>
      <c r="G684" s="1355"/>
      <c r="H684" s="1355"/>
      <c r="I684" s="1355"/>
      <c r="J684" s="1355"/>
      <c r="K684" s="1355"/>
      <c r="L684" s="1355"/>
      <c r="M684" s="1355"/>
      <c r="N684" s="1355"/>
      <c r="O684" s="1355"/>
      <c r="P684" s="1355"/>
      <c r="Q684" s="1355"/>
      <c r="R684" s="1355"/>
      <c r="T684" s="22"/>
      <c r="U684" t="s">
        <v>85</v>
      </c>
      <c r="Z684" s="1355"/>
      <c r="AA684" s="1355"/>
      <c r="AB684" s="1355"/>
      <c r="AC684" s="1355"/>
      <c r="AD684" s="1355"/>
      <c r="AE684" s="1355"/>
      <c r="AF684" s="1355"/>
      <c r="AG684" s="1355"/>
      <c r="AH684" s="1355"/>
      <c r="AI684" s="1355"/>
      <c r="AJ684" s="1355"/>
      <c r="AK684" s="1355"/>
      <c r="AZ684" s="3"/>
    </row>
    <row r="685" spans="1:52" ht="12.95" customHeight="1">
      <c r="B685" t="s">
        <v>579</v>
      </c>
      <c r="G685" s="1355"/>
      <c r="H685" s="1355"/>
      <c r="I685" s="1355"/>
      <c r="J685" s="1355"/>
      <c r="K685" s="1355"/>
      <c r="L685" s="1355"/>
      <c r="M685" s="1355"/>
      <c r="N685" s="1355"/>
      <c r="O685" s="1355"/>
      <c r="P685" s="1355"/>
      <c r="Q685" s="1355"/>
      <c r="R685" s="1355"/>
      <c r="U685" t="s">
        <v>579</v>
      </c>
      <c r="Z685" s="1454"/>
      <c r="AA685" s="1454"/>
      <c r="AB685" s="1454"/>
      <c r="AC685" s="1454"/>
      <c r="AD685" s="1454"/>
      <c r="AE685" s="1454"/>
      <c r="AF685" s="1454"/>
      <c r="AG685" s="1454"/>
      <c r="AH685" s="1454"/>
      <c r="AI685" s="1454"/>
      <c r="AJ685" s="1454"/>
      <c r="AK685" s="1454"/>
      <c r="AZ685" s="3"/>
    </row>
    <row r="686" spans="1:52" ht="12.95" customHeight="1">
      <c r="B686" t="s">
        <v>17</v>
      </c>
      <c r="G686" s="1355"/>
      <c r="H686" s="1355"/>
      <c r="I686" s="1355"/>
      <c r="J686" s="1355"/>
      <c r="K686" s="1355"/>
      <c r="L686" s="1355"/>
      <c r="M686" s="1355"/>
      <c r="N686" s="1355"/>
      <c r="O686" s="1355"/>
      <c r="P686" s="1355"/>
      <c r="Q686" s="1355"/>
      <c r="R686" s="1355"/>
      <c r="U686" t="s">
        <v>17</v>
      </c>
      <c r="Z686" s="1454"/>
      <c r="AA686" s="1454"/>
      <c r="AB686" s="1454"/>
      <c r="AC686" s="1454"/>
      <c r="AD686" s="1454"/>
      <c r="AE686" s="1454"/>
      <c r="AF686" s="1454"/>
      <c r="AG686" s="1454"/>
      <c r="AH686" s="1454"/>
      <c r="AI686" s="1454"/>
      <c r="AJ686" s="1454"/>
      <c r="AK686" s="1454"/>
      <c r="AZ686" s="3"/>
    </row>
    <row r="687" spans="1:52" ht="12.95" customHeight="1">
      <c r="B687" t="s">
        <v>315</v>
      </c>
      <c r="G687" s="1420"/>
      <c r="H687" s="1420"/>
      <c r="I687" s="1420"/>
      <c r="J687" s="1420"/>
      <c r="K687" s="1420"/>
      <c r="L687" s="1420"/>
      <c r="O687" s="33" t="s">
        <v>205</v>
      </c>
      <c r="P687" s="1354"/>
      <c r="Q687" s="1354"/>
      <c r="R687" s="1354"/>
      <c r="U687" t="s">
        <v>315</v>
      </c>
      <c r="Z687" s="1420"/>
      <c r="AA687" s="1420"/>
      <c r="AB687" s="1420"/>
      <c r="AC687" s="1420"/>
      <c r="AD687" s="1420"/>
      <c r="AE687" s="1420"/>
      <c r="AH687" s="33" t="s">
        <v>205</v>
      </c>
      <c r="AI687" s="1354"/>
      <c r="AJ687" s="1354"/>
      <c r="AK687" s="1354"/>
      <c r="AZ687" s="3"/>
    </row>
    <row r="688" spans="1:52" ht="12.95" customHeight="1">
      <c r="B688" t="s">
        <v>18</v>
      </c>
      <c r="H688" s="1355"/>
      <c r="I688" s="1355"/>
      <c r="J688" s="1355"/>
      <c r="K688" s="1355"/>
      <c r="L688" s="1355"/>
      <c r="M688" s="1355"/>
      <c r="N688" s="1355"/>
      <c r="O688" s="1355"/>
      <c r="P688" s="1355"/>
      <c r="Q688" s="1355"/>
      <c r="R688" s="1355"/>
      <c r="U688" t="s">
        <v>18</v>
      </c>
      <c r="AA688" s="1355"/>
      <c r="AB688" s="1355"/>
      <c r="AC688" s="1355"/>
      <c r="AD688" s="1355"/>
      <c r="AE688" s="1355"/>
      <c r="AF688" s="1355"/>
      <c r="AG688" s="1355"/>
      <c r="AH688" s="1355"/>
      <c r="AI688" s="1355"/>
      <c r="AJ688" s="1355"/>
      <c r="AK688" s="1355"/>
      <c r="AZ688" s="3"/>
    </row>
    <row r="689" spans="1:67" ht="12.95" customHeight="1">
      <c r="B689" t="s">
        <v>20</v>
      </c>
      <c r="N689" s="1333" t="s">
        <v>668</v>
      </c>
      <c r="O689" s="1333"/>
      <c r="U689" t="s">
        <v>20</v>
      </c>
      <c r="AG689" s="1333" t="s">
        <v>668</v>
      </c>
      <c r="AH689" s="1333"/>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3" t="s">
        <v>544</v>
      </c>
      <c r="AF693" s="1333"/>
      <c r="AZ693" s="3"/>
    </row>
    <row r="694" spans="1:67" ht="12.95" customHeight="1">
      <c r="B694" s="135"/>
      <c r="C694" s="135"/>
      <c r="D694" s="136" t="s">
        <v>437</v>
      </c>
      <c r="E694" s="135"/>
      <c r="F694" s="135"/>
      <c r="G694" s="135"/>
      <c r="H694" s="135"/>
      <c r="AE694" s="1333" t="s">
        <v>544</v>
      </c>
      <c r="AF694" s="1333"/>
      <c r="AZ694" s="3"/>
    </row>
    <row r="695" spans="1:67" ht="12.95" customHeight="1">
      <c r="B695" s="135"/>
      <c r="C695" s="135"/>
      <c r="D695" s="136" t="s">
        <v>919</v>
      </c>
      <c r="E695" s="135"/>
      <c r="F695" s="135"/>
      <c r="G695" s="135"/>
      <c r="H695" s="135"/>
      <c r="AE695" s="1703">
        <v>45797</v>
      </c>
      <c r="AF695" s="1703"/>
      <c r="AG695" s="1703"/>
      <c r="AH695" s="1703"/>
      <c r="AI695" s="1703"/>
    </row>
    <row r="696" spans="1:67" ht="12.95" customHeight="1">
      <c r="B696" s="135"/>
      <c r="C696" s="135"/>
      <c r="D696" s="317" t="s">
        <v>981</v>
      </c>
      <c r="E696" s="135"/>
      <c r="F696" s="135"/>
      <c r="G696" s="135"/>
      <c r="H696" s="135"/>
      <c r="AE696" s="1728">
        <v>45874</v>
      </c>
      <c r="AF696" s="1728"/>
      <c r="AG696" s="1728"/>
      <c r="AH696" s="1728"/>
      <c r="AI696" s="1728"/>
    </row>
    <row r="697" spans="1:67" ht="12.95" customHeight="1">
      <c r="B697" s="135"/>
      <c r="C697" s="135"/>
    </row>
    <row r="698" spans="1:67" ht="12.95" customHeight="1">
      <c r="B698" s="135"/>
      <c r="C698" s="135"/>
      <c r="D698" s="136" t="s">
        <v>815</v>
      </c>
      <c r="E698" s="135"/>
      <c r="F698" s="135"/>
      <c r="G698" s="135"/>
      <c r="H698" s="135"/>
      <c r="AE698" s="1703">
        <v>46052</v>
      </c>
      <c r="AF698" s="1703"/>
      <c r="AG698" s="1703"/>
      <c r="AH698" s="1703"/>
      <c r="AI698" s="1703"/>
    </row>
    <row r="699" spans="1:67" ht="12.95" customHeight="1">
      <c r="B699" s="135"/>
      <c r="C699" s="135"/>
      <c r="D699" s="136" t="s">
        <v>435</v>
      </c>
      <c r="E699" s="135"/>
      <c r="F699" s="135"/>
      <c r="G699" s="135"/>
      <c r="H699" s="135"/>
      <c r="AE699" s="1683">
        <v>0.50049999999999994</v>
      </c>
      <c r="AF699" s="1683"/>
      <c r="AG699" s="1683"/>
      <c r="AH699" s="1683"/>
      <c r="AI699" s="1683"/>
    </row>
    <row r="700" spans="1:67" ht="12.95" customHeight="1">
      <c r="B700" s="135"/>
      <c r="C700" s="135"/>
      <c r="D700" s="136" t="s">
        <v>436</v>
      </c>
      <c r="E700" s="135"/>
      <c r="F700" s="135"/>
      <c r="G700" s="135"/>
      <c r="H700" s="135"/>
      <c r="W700" s="1350" t="str">
        <f>H335</f>
        <v>California Municipal Finance Authority</v>
      </c>
      <c r="X700" s="1350"/>
      <c r="Y700" s="1350"/>
      <c r="Z700" s="1350"/>
      <c r="AA700" s="1350"/>
      <c r="AB700" s="1350"/>
      <c r="AC700" s="1350"/>
      <c r="AD700" s="1350"/>
      <c r="AE700" s="1350"/>
      <c r="AF700" s="1350"/>
      <c r="AG700" s="1350"/>
      <c r="AH700" s="1350"/>
      <c r="AI700" s="1350"/>
      <c r="AJ700" s="1350"/>
      <c r="AK700" s="135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3" t="s">
        <v>668</v>
      </c>
      <c r="AF702" s="1333"/>
      <c r="AZ702" s="4" t="s">
        <v>323</v>
      </c>
    </row>
    <row r="703" spans="1:67" ht="12.95" customHeight="1">
      <c r="B703" s="135"/>
      <c r="C703" s="135"/>
      <c r="D703" s="136" t="s">
        <v>441</v>
      </c>
      <c r="E703" s="135"/>
      <c r="F703" s="135"/>
      <c r="G703" s="135"/>
      <c r="H703" s="135"/>
      <c r="W703" s="1355"/>
      <c r="X703" s="1355"/>
      <c r="Y703" s="1355"/>
      <c r="Z703" s="1355"/>
      <c r="AA703" s="1355"/>
      <c r="AB703" s="1355"/>
      <c r="AC703" s="1355"/>
      <c r="AD703" s="1355"/>
      <c r="AE703" s="1355"/>
      <c r="AF703" s="1355"/>
      <c r="AG703" s="1355"/>
      <c r="AH703" s="1355"/>
      <c r="AI703" s="1355"/>
      <c r="AJ703" s="1355"/>
      <c r="AK703" s="1355"/>
      <c r="AZ703" s="4" t="s">
        <v>324</v>
      </c>
    </row>
    <row r="704" spans="1:67" ht="12.95" customHeight="1">
      <c r="B704" s="135"/>
      <c r="C704" s="135"/>
      <c r="D704" s="136" t="s">
        <v>87</v>
      </c>
      <c r="E704" s="135"/>
      <c r="F704" s="135"/>
      <c r="G704" s="135"/>
      <c r="H704" s="135"/>
      <c r="J704" s="1355"/>
      <c r="K704" s="1355"/>
      <c r="L704" s="1355"/>
      <c r="M704" s="1355"/>
      <c r="N704" s="1355"/>
      <c r="O704" s="1355"/>
      <c r="P704" s="1355"/>
      <c r="Q704" s="1355"/>
      <c r="R704" s="1355"/>
      <c r="S704" s="1355"/>
      <c r="T704" s="1355"/>
      <c r="U704" s="1355"/>
      <c r="V704" s="1355"/>
      <c r="W704" s="1355"/>
      <c r="X704" s="1355"/>
      <c r="AZ704" s="4" t="s">
        <v>163</v>
      </c>
      <c r="BB704" s="34"/>
      <c r="BC704" s="34"/>
      <c r="BD704" s="34"/>
      <c r="BE704" s="3"/>
      <c r="BF704" s="3"/>
      <c r="BJ704" s="3"/>
      <c r="BK704" s="3"/>
      <c r="BL704" s="3"/>
      <c r="BM704" s="3"/>
      <c r="BN704" s="34"/>
      <c r="BO704" s="34"/>
    </row>
    <row r="705" spans="1:185" ht="12.95" customHeight="1">
      <c r="B705" s="135"/>
      <c r="C705" s="135"/>
      <c r="D705" s="136" t="s">
        <v>88</v>
      </c>
      <c r="J705" s="1420"/>
      <c r="K705" s="1420"/>
      <c r="L705" s="1420"/>
      <c r="M705" s="1420"/>
      <c r="N705" s="1420"/>
      <c r="O705" s="1420"/>
      <c r="P705" s="4" t="s">
        <v>205</v>
      </c>
      <c r="Q705" s="4"/>
      <c r="R705" s="1354"/>
      <c r="S705" s="1354"/>
      <c r="T705" s="135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55" t="s">
        <v>306</v>
      </c>
      <c r="X706" s="1355"/>
      <c r="Y706" s="1355"/>
      <c r="Z706" s="1355"/>
      <c r="AA706" s="1355"/>
      <c r="AB706" s="1355"/>
      <c r="AC706" s="1355"/>
      <c r="AD706" s="1355"/>
      <c r="AE706" s="1355"/>
      <c r="AF706" s="1355"/>
      <c r="AG706" s="1355"/>
      <c r="AH706" s="1355"/>
      <c r="AI706" s="1355"/>
      <c r="AJ706" s="1355"/>
      <c r="AK706" s="1355"/>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55" t="s">
        <v>333</v>
      </c>
      <c r="F707" s="1355"/>
      <c r="G707" s="1355"/>
      <c r="H707" s="1355"/>
      <c r="I707" s="1355"/>
      <c r="J707" s="1355"/>
      <c r="K707" s="1355"/>
      <c r="L707" s="1355"/>
      <c r="M707" s="1355"/>
      <c r="N707" s="1355"/>
      <c r="O707" s="1355"/>
      <c r="P707" s="1355"/>
      <c r="Q707" s="1355"/>
      <c r="R707" s="1355"/>
      <c r="S707" s="1355"/>
      <c r="T707" s="1355"/>
      <c r="U707" s="1355"/>
      <c r="V707" s="1355"/>
      <c r="W707" s="1355"/>
      <c r="X707" s="1355"/>
      <c r="Y707" s="1355"/>
      <c r="Z707" s="1355"/>
      <c r="AA707" s="1355"/>
      <c r="AB707" s="1355"/>
      <c r="AC707" s="1355"/>
      <c r="AD707" s="1355"/>
      <c r="AE707" s="1355"/>
      <c r="AF707" s="1355"/>
      <c r="AG707" s="1355"/>
      <c r="AH707" s="1355"/>
      <c r="AI707" s="1355"/>
      <c r="AJ707" s="1355"/>
      <c r="AK707" s="1355"/>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11" t="s">
        <v>388</v>
      </c>
      <c r="C714" s="1612"/>
      <c r="D714" s="1612"/>
      <c r="E714" s="1612"/>
      <c r="F714" s="1613"/>
      <c r="G714" s="1611" t="s">
        <v>284</v>
      </c>
      <c r="H714" s="1612"/>
      <c r="I714" s="1612"/>
      <c r="J714" s="1613"/>
      <c r="K714" s="1633" t="s">
        <v>1677</v>
      </c>
      <c r="L714" s="1634"/>
      <c r="M714" s="1634"/>
      <c r="N714" s="1635"/>
      <c r="O714" s="1611" t="s">
        <v>446</v>
      </c>
      <c r="P714" s="1612"/>
      <c r="Q714" s="1612"/>
      <c r="R714" s="1612"/>
      <c r="S714" s="1613"/>
      <c r="T714" s="1690" t="s">
        <v>1948</v>
      </c>
      <c r="U714" s="1612"/>
      <c r="V714" s="1612"/>
      <c r="W714" s="1613"/>
      <c r="X714" s="1690" t="s">
        <v>1950</v>
      </c>
      <c r="Y714" s="1612"/>
      <c r="Z714" s="1612"/>
      <c r="AA714" s="1612"/>
      <c r="AB714" s="1613"/>
      <c r="AC714" s="1690" t="s">
        <v>1949</v>
      </c>
      <c r="AD714" s="1612"/>
      <c r="AE714" s="1612"/>
      <c r="AF714" s="1612"/>
      <c r="AG714" s="1613"/>
      <c r="AH714" s="1690" t="s">
        <v>1951</v>
      </c>
      <c r="AI714" s="1612"/>
      <c r="AJ714" s="1613"/>
      <c r="AK714" s="1690" t="s">
        <v>1978</v>
      </c>
      <c r="AL714" s="1612"/>
      <c r="AM714" s="1612"/>
      <c r="AN714" s="1612"/>
      <c r="AO714" s="161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614"/>
      <c r="C715" s="1615"/>
      <c r="D715" s="1615"/>
      <c r="E715" s="1615"/>
      <c r="F715" s="1616"/>
      <c r="G715" s="1614"/>
      <c r="H715" s="1615"/>
      <c r="I715" s="1615"/>
      <c r="J715" s="1616"/>
      <c r="K715" s="1636"/>
      <c r="L715" s="1637"/>
      <c r="M715" s="1637"/>
      <c r="N715" s="1638"/>
      <c r="O715" s="1614"/>
      <c r="P715" s="1615"/>
      <c r="Q715" s="1615"/>
      <c r="R715" s="1615"/>
      <c r="S715" s="1616"/>
      <c r="T715" s="1614"/>
      <c r="U715" s="1615"/>
      <c r="V715" s="1615"/>
      <c r="W715" s="1616"/>
      <c r="X715" s="1614"/>
      <c r="Y715" s="1615"/>
      <c r="Z715" s="1615"/>
      <c r="AA715" s="1615"/>
      <c r="AB715" s="1616"/>
      <c r="AC715" s="1614"/>
      <c r="AD715" s="1615"/>
      <c r="AE715" s="1615"/>
      <c r="AF715" s="1615"/>
      <c r="AG715" s="1616"/>
      <c r="AH715" s="1614"/>
      <c r="AI715" s="1615"/>
      <c r="AJ715" s="1616"/>
      <c r="AK715" s="1614"/>
      <c r="AL715" s="1615"/>
      <c r="AM715" s="1615"/>
      <c r="AN715" s="1615"/>
      <c r="AO715" s="161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614"/>
      <c r="C716" s="1615"/>
      <c r="D716" s="1615"/>
      <c r="E716" s="1615"/>
      <c r="F716" s="1616"/>
      <c r="G716" s="1614"/>
      <c r="H716" s="1615"/>
      <c r="I716" s="1615"/>
      <c r="J716" s="1616"/>
      <c r="K716" s="1636"/>
      <c r="L716" s="1637"/>
      <c r="M716" s="1637"/>
      <c r="N716" s="1638"/>
      <c r="O716" s="1614"/>
      <c r="P716" s="1615"/>
      <c r="Q716" s="1615"/>
      <c r="R716" s="1615"/>
      <c r="S716" s="1616"/>
      <c r="T716" s="1614"/>
      <c r="U716" s="1615"/>
      <c r="V716" s="1615"/>
      <c r="W716" s="1616"/>
      <c r="X716" s="1614"/>
      <c r="Y716" s="1615"/>
      <c r="Z716" s="1615"/>
      <c r="AA716" s="1615"/>
      <c r="AB716" s="1616"/>
      <c r="AC716" s="1614"/>
      <c r="AD716" s="1615"/>
      <c r="AE716" s="1615"/>
      <c r="AF716" s="1615"/>
      <c r="AG716" s="1616"/>
      <c r="AH716" s="1614"/>
      <c r="AI716" s="1615"/>
      <c r="AJ716" s="1616"/>
      <c r="AK716" s="1614"/>
      <c r="AL716" s="1615"/>
      <c r="AM716" s="1615"/>
      <c r="AN716" s="1615"/>
      <c r="AO716" s="1616"/>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617"/>
      <c r="C717" s="1618"/>
      <c r="D717" s="1618"/>
      <c r="E717" s="1618"/>
      <c r="F717" s="1619"/>
      <c r="G717" s="1617"/>
      <c r="H717" s="1618"/>
      <c r="I717" s="1618"/>
      <c r="J717" s="1619"/>
      <c r="K717" s="1636"/>
      <c r="L717" s="1637"/>
      <c r="M717" s="1637"/>
      <c r="N717" s="1638"/>
      <c r="O717" s="1617"/>
      <c r="P717" s="1618"/>
      <c r="Q717" s="1618"/>
      <c r="R717" s="1618"/>
      <c r="S717" s="1619"/>
      <c r="T717" s="1617"/>
      <c r="U717" s="1618"/>
      <c r="V717" s="1618"/>
      <c r="W717" s="1619"/>
      <c r="X717" s="1617"/>
      <c r="Y717" s="1618"/>
      <c r="Z717" s="1618"/>
      <c r="AA717" s="1618"/>
      <c r="AB717" s="1619"/>
      <c r="AC717" s="1617"/>
      <c r="AD717" s="1618"/>
      <c r="AE717" s="1618"/>
      <c r="AF717" s="1618"/>
      <c r="AG717" s="1619"/>
      <c r="AH717" s="1617"/>
      <c r="AI717" s="1618"/>
      <c r="AJ717" s="1619"/>
      <c r="AK717" s="1617"/>
      <c r="AL717" s="1618"/>
      <c r="AM717" s="1618"/>
      <c r="AN717" s="1618"/>
      <c r="AO717" s="1619"/>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80"/>
      <c r="CJ717" s="1481"/>
      <c r="CK717" s="121" t="s">
        <v>474</v>
      </c>
      <c r="CL717" s="122"/>
      <c r="CM717" s="1480"/>
      <c r="CN717" s="1481"/>
      <c r="CO717" s="3"/>
      <c r="CP717" s="1405" t="s">
        <v>632</v>
      </c>
      <c r="CQ717" s="1406"/>
      <c r="CR717" s="1406"/>
      <c r="CS717" s="1406"/>
      <c r="CT717" s="1407"/>
      <c r="CU717" s="1476" t="s">
        <v>324</v>
      </c>
      <c r="CV717" s="1476"/>
      <c r="CW717" s="1476"/>
      <c r="CX717" s="1476"/>
      <c r="CY717" s="1476"/>
      <c r="CZ717" s="1476" t="s">
        <v>163</v>
      </c>
      <c r="DA717" s="1476"/>
      <c r="DB717" s="1476"/>
      <c r="DC717" s="1476"/>
      <c r="DD717" s="1476"/>
      <c r="DE717" s="1476" t="s">
        <v>164</v>
      </c>
      <c r="DF717" s="1476"/>
      <c r="DG717" s="1476"/>
      <c r="DH717" s="1476"/>
      <c r="DI717" s="1476"/>
      <c r="DJ717" s="1476" t="s">
        <v>459</v>
      </c>
      <c r="DK717" s="1476"/>
      <c r="DL717" s="1476"/>
      <c r="DM717" s="1476"/>
      <c r="DN717" s="1476"/>
      <c r="DO717" s="1476" t="s">
        <v>30</v>
      </c>
      <c r="DP717" s="1476"/>
      <c r="DQ717" s="1476"/>
      <c r="DR717" s="1476"/>
      <c r="DS717" s="1476"/>
      <c r="DT717" s="89"/>
      <c r="DU717" s="1476" t="s">
        <v>632</v>
      </c>
      <c r="DV717" s="1476"/>
      <c r="DW717" s="1476"/>
      <c r="DX717" s="1476"/>
      <c r="DY717" s="1476"/>
      <c r="DZ717" s="1476" t="s">
        <v>324</v>
      </c>
      <c r="EA717" s="1476"/>
      <c r="EB717" s="1476"/>
      <c r="EC717" s="1476"/>
      <c r="ED717" s="1476"/>
      <c r="EE717" s="1476" t="s">
        <v>163</v>
      </c>
      <c r="EF717" s="1476"/>
      <c r="EG717" s="1476"/>
      <c r="EH717" s="1476"/>
      <c r="EI717" s="1476"/>
      <c r="EJ717" s="1476" t="s">
        <v>164</v>
      </c>
      <c r="EK717" s="1476"/>
      <c r="EL717" s="1476"/>
      <c r="EM717" s="1476"/>
      <c r="EN717" s="1476"/>
      <c r="EO717" s="1476" t="s">
        <v>459</v>
      </c>
      <c r="EP717" s="1476"/>
      <c r="EQ717" s="1476"/>
      <c r="ER717" s="1476"/>
      <c r="ES717" s="1476"/>
      <c r="ET717" s="1476" t="s">
        <v>30</v>
      </c>
      <c r="EU717" s="1476"/>
      <c r="EV717" s="1476"/>
      <c r="EW717" s="1476"/>
      <c r="EX717" s="1476"/>
      <c r="EY717" s="4"/>
      <c r="EZ717" s="1476" t="s">
        <v>632</v>
      </c>
      <c r="FA717" s="1476"/>
      <c r="FB717" s="1476"/>
      <c r="FC717" s="1476"/>
      <c r="FD717" s="1476"/>
      <c r="FE717" s="1476" t="s">
        <v>324</v>
      </c>
      <c r="FF717" s="1476"/>
      <c r="FG717" s="1476"/>
      <c r="FH717" s="1476"/>
      <c r="FI717" s="1476"/>
      <c r="FJ717" s="1476" t="s">
        <v>163</v>
      </c>
      <c r="FK717" s="1476"/>
      <c r="FL717" s="1476"/>
      <c r="FM717" s="1476"/>
      <c r="FN717" s="1476"/>
      <c r="FO717" s="1476" t="s">
        <v>164</v>
      </c>
      <c r="FP717" s="1476"/>
      <c r="FQ717" s="1476"/>
      <c r="FR717" s="1476"/>
      <c r="FS717" s="1476"/>
      <c r="FT717" s="1476" t="s">
        <v>459</v>
      </c>
      <c r="FU717" s="1476"/>
      <c r="FV717" s="1476"/>
      <c r="FW717" s="1476"/>
      <c r="FX717" s="1476"/>
      <c r="FY717" s="1476" t="s">
        <v>30</v>
      </c>
      <c r="FZ717" s="1476"/>
      <c r="GA717" s="1476"/>
      <c r="GB717" s="1476"/>
      <c r="GC717" s="1476"/>
    </row>
    <row r="718" spans="1:185" ht="12.95" customHeight="1">
      <c r="A718" s="4"/>
      <c r="B718" s="1382" t="s">
        <v>323</v>
      </c>
      <c r="C718" s="1383"/>
      <c r="D718" s="1383"/>
      <c r="E718" s="1383"/>
      <c r="F718" s="1384"/>
      <c r="G718" s="1341">
        <v>6</v>
      </c>
      <c r="H718" s="1342"/>
      <c r="I718" s="1342"/>
      <c r="J718" s="1343"/>
      <c r="K718" s="1347">
        <v>406</v>
      </c>
      <c r="L718" s="1348"/>
      <c r="M718" s="1348"/>
      <c r="N718" s="1349"/>
      <c r="O718" s="1729">
        <v>764</v>
      </c>
      <c r="P718" s="1345"/>
      <c r="Q718" s="1345"/>
      <c r="R718" s="1345"/>
      <c r="S718" s="1346"/>
      <c r="T718" s="1344">
        <v>31</v>
      </c>
      <c r="U718" s="1345"/>
      <c r="V718" s="1345"/>
      <c r="W718" s="1346"/>
      <c r="X718" s="1496">
        <f t="shared" ref="X718:X741" si="8">O718+T718</f>
        <v>795</v>
      </c>
      <c r="Y718" s="1433"/>
      <c r="Z718" s="1433"/>
      <c r="AA718" s="1433"/>
      <c r="AB718" s="1497"/>
      <c r="AC718" s="1351">
        <v>0.3</v>
      </c>
      <c r="AD718" s="1352"/>
      <c r="AE718" s="1352"/>
      <c r="AF718" s="1352"/>
      <c r="AG718" s="1353"/>
      <c r="AH718" s="1338">
        <f>IF($AC718&gt;0,($X718/$AZ718), "")</f>
        <v>0.3</v>
      </c>
      <c r="AI718" s="1339"/>
      <c r="AJ718" s="1340"/>
      <c r="AK718" s="1382" t="s">
        <v>590</v>
      </c>
      <c r="AL718" s="1383"/>
      <c r="AM718" s="1383"/>
      <c r="AN718" s="1383"/>
      <c r="AO718" s="1384"/>
      <c r="AP718" s="3"/>
      <c r="AQ718" s="3"/>
      <c r="AR718" s="3"/>
      <c r="AS718" s="3"/>
      <c r="AZ718" s="118">
        <f t="shared" ref="AZ718:AZ752" si="9">IF($G718=0,"N/A",VLOOKUP($T$189,TC_Rent,(MATCH($B718,bedrooms,FALSE)),FALSE))</f>
        <v>2650</v>
      </c>
      <c r="BA718" s="3"/>
      <c r="BB718" s="3"/>
      <c r="BC718" s="3"/>
      <c r="BD718" s="3"/>
      <c r="BE718" s="204"/>
      <c r="BF718" s="293">
        <f t="shared" ref="BF718:BF752" si="10">G718</f>
        <v>6</v>
      </c>
      <c r="BG718" s="297">
        <f t="shared" ref="BG718:BG752" si="11">IF($BF$753=0,0,BF718/$BF$753)</f>
        <v>4.7244094488188976E-2</v>
      </c>
      <c r="BH718" s="298">
        <f t="shared" ref="BH718:BH752" si="12">IF(BG718=0,"",BG718*AC718)</f>
        <v>1.4173228346456693E-2</v>
      </c>
      <c r="BI718" s="3"/>
      <c r="BJ718" s="3"/>
      <c r="BK718" s="3"/>
      <c r="BL718" s="3"/>
      <c r="BM718" s="3"/>
      <c r="BN718" s="3"/>
      <c r="BS718" s="293">
        <f t="shared" ref="BS718:BS752" si="13">G718</f>
        <v>6</v>
      </c>
      <c r="BT718" s="297">
        <f t="shared" ref="BT718:BT752" si="14">IF($BS$753=0,0,BS718/$BS$753)</f>
        <v>4.7244094488188976E-2</v>
      </c>
      <c r="BU718" s="298">
        <f t="shared" ref="BU718:BU752" si="15">IF(BT718=0,"",BT718*AH718)</f>
        <v>1.4173228346456693E-2</v>
      </c>
      <c r="CC718" s="3"/>
      <c r="CD718" s="3"/>
      <c r="CE718" s="3"/>
      <c r="CF718" s="3"/>
      <c r="CG718" s="1468">
        <f>IF(AND(AC718&lt;=0.5,AC718&gt;=0.36),1,0)</f>
        <v>0</v>
      </c>
      <c r="CH718" s="1470"/>
      <c r="CI718" s="1480">
        <f>IF(CG718=1,G718,0)</f>
        <v>0</v>
      </c>
      <c r="CJ718" s="1481"/>
      <c r="CK718" s="1468">
        <f t="shared" ref="CK718:CK752" si="16">IF(AND(AC718&lt;=0.35,AC718&gt;0),1,0)</f>
        <v>1</v>
      </c>
      <c r="CL718" s="1470"/>
      <c r="CM718" s="1480">
        <f t="shared" ref="CM718:CM752" si="17">IF(CK718=1,G718,0)</f>
        <v>6</v>
      </c>
      <c r="CN718" s="1481"/>
      <c r="CO718" s="3"/>
      <c r="CP718" s="1472">
        <f t="shared" ref="CP718:CP752" si="18">IF(B718="SRO/Studio",G718,0)</f>
        <v>6</v>
      </c>
      <c r="CQ718" s="1473"/>
      <c r="CR718" s="1473"/>
      <c r="CS718" s="1473"/>
      <c r="CT718" s="1474"/>
      <c r="CU718" s="1455">
        <f t="shared" ref="CU718:CU752" si="19">IF(B718="1 Bedroom",G718,0)</f>
        <v>0</v>
      </c>
      <c r="CV718" s="1455"/>
      <c r="CW718" s="1455"/>
      <c r="CX718" s="1455"/>
      <c r="CY718" s="1455"/>
      <c r="CZ718" s="1455">
        <f t="shared" ref="CZ718:CZ752" si="20">IF(B718="2 Bedrooms",G718,0)</f>
        <v>0</v>
      </c>
      <c r="DA718" s="1455"/>
      <c r="DB718" s="1455"/>
      <c r="DC718" s="1455"/>
      <c r="DD718" s="1455"/>
      <c r="DE718" s="1455">
        <f t="shared" ref="DE718:DE752" si="21">IF(B718="3 Bedrooms",G718,0)</f>
        <v>0</v>
      </c>
      <c r="DF718" s="1455"/>
      <c r="DG718" s="1455"/>
      <c r="DH718" s="1455"/>
      <c r="DI718" s="1455"/>
      <c r="DJ718" s="1455">
        <f t="shared" ref="DJ718:DJ752" si="22">IF(B718="4 Bedrooms",G718,0)</f>
        <v>0</v>
      </c>
      <c r="DK718" s="1455"/>
      <c r="DL718" s="1455"/>
      <c r="DM718" s="1455"/>
      <c r="DN718" s="1455"/>
      <c r="DO718" s="1455">
        <f t="shared" ref="DO718:DO752" si="23">IF(B718="5 Bedrooms",G718,0)</f>
        <v>0</v>
      </c>
      <c r="DP718" s="1455"/>
      <c r="DQ718" s="1455"/>
      <c r="DR718" s="1455"/>
      <c r="DS718" s="1455"/>
      <c r="DT718" s="6"/>
      <c r="DU718" s="1456">
        <f t="shared" ref="DU718:DU752" si="24">IF(AND(B718="SRO/Studio",AC718&lt;=0.3),G718,0)</f>
        <v>6</v>
      </c>
      <c r="DV718" s="1456"/>
      <c r="DW718" s="1456"/>
      <c r="DX718" s="1456"/>
      <c r="DY718" s="1456"/>
      <c r="DZ718" s="1456">
        <f t="shared" ref="DZ718:DZ752" si="25">IF(AND(B718="1 Bedroom",AC718&lt;=0.3),G718,0)</f>
        <v>0</v>
      </c>
      <c r="EA718" s="1456"/>
      <c r="EB718" s="1456"/>
      <c r="EC718" s="1456"/>
      <c r="ED718" s="1456"/>
      <c r="EE718" s="1456">
        <f t="shared" ref="EE718:EE752" si="26">IF(AND(B718="2 Bedrooms",AC718&lt;=0.3),G718,0)</f>
        <v>0</v>
      </c>
      <c r="EF718" s="1456"/>
      <c r="EG718" s="1456"/>
      <c r="EH718" s="1456"/>
      <c r="EI718" s="1456"/>
      <c r="EJ718" s="1456">
        <f t="shared" ref="EJ718:EJ752" si="27">IF(AND(B718="3 Bedrooms",AC718&lt;=0.3),G718,0)</f>
        <v>0</v>
      </c>
      <c r="EK718" s="1456"/>
      <c r="EL718" s="1456"/>
      <c r="EM718" s="1456"/>
      <c r="EN718" s="1456"/>
      <c r="EO718" s="1456">
        <f t="shared" ref="EO718:EO752" si="28">IF(AND(B718="4 Bedrooms",AC718&lt;=0.3),G718,0)</f>
        <v>0</v>
      </c>
      <c r="EP718" s="1456"/>
      <c r="EQ718" s="1456"/>
      <c r="ER718" s="1456"/>
      <c r="ES718" s="1456"/>
      <c r="ET718" s="1456">
        <f t="shared" ref="ET718:ET752" si="29">IF(AND(B718="5 Bedrooms",AC718&lt;=0.3),G718,0)</f>
        <v>0</v>
      </c>
      <c r="EU718" s="1456"/>
      <c r="EV718" s="1456"/>
      <c r="EW718" s="1456"/>
      <c r="EX718" s="1456"/>
      <c r="EY718" s="4"/>
      <c r="EZ718" s="1468">
        <f t="shared" ref="EZ718:EZ752" si="30">IF(CP718&gt;0,O718,"")</f>
        <v>764</v>
      </c>
      <c r="FA718" s="1469"/>
      <c r="FB718" s="1469"/>
      <c r="FC718" s="1469"/>
      <c r="FD718" s="1470"/>
      <c r="FE718" s="1468" t="str">
        <f t="shared" ref="FE718:FE752" si="31">IF(CU718&gt;0,O718,"")</f>
        <v/>
      </c>
      <c r="FF718" s="1469"/>
      <c r="FG718" s="1469"/>
      <c r="FH718" s="1469"/>
      <c r="FI718" s="1470"/>
      <c r="FJ718" s="1468" t="str">
        <f t="shared" ref="FJ718:FJ752" si="32">IF(CZ718&gt;0,O718,"")</f>
        <v/>
      </c>
      <c r="FK718" s="1469"/>
      <c r="FL718" s="1469"/>
      <c r="FM718" s="1469"/>
      <c r="FN718" s="1470"/>
      <c r="FO718" s="1468" t="str">
        <f t="shared" ref="FO718:FO752" si="33">IF(DE718&gt;0,O718,"")</f>
        <v/>
      </c>
      <c r="FP718" s="1469"/>
      <c r="FQ718" s="1469"/>
      <c r="FR718" s="1469"/>
      <c r="FS718" s="1470"/>
      <c r="FT718" s="1468" t="str">
        <f t="shared" ref="FT718:FT752" si="34">IF(DJ718&gt;0,O718,"")</f>
        <v/>
      </c>
      <c r="FU718" s="1469"/>
      <c r="FV718" s="1469"/>
      <c r="FW718" s="1469"/>
      <c r="FX718" s="1470"/>
      <c r="FY718" s="1468" t="str">
        <f t="shared" ref="FY718:FY752" si="35">IF(DO718&gt;0,O718,"")</f>
        <v/>
      </c>
      <c r="FZ718" s="1469"/>
      <c r="GA718" s="1469"/>
      <c r="GB718" s="1469"/>
      <c r="GC718" s="1470"/>
    </row>
    <row r="719" spans="1:185" ht="12.95" customHeight="1">
      <c r="A719" s="4"/>
      <c r="B719" s="1382" t="s">
        <v>324</v>
      </c>
      <c r="C719" s="1383"/>
      <c r="D719" s="1383"/>
      <c r="E719" s="1383"/>
      <c r="F719" s="1384"/>
      <c r="G719" s="1341">
        <v>7</v>
      </c>
      <c r="H719" s="1342"/>
      <c r="I719" s="1342"/>
      <c r="J719" s="1343"/>
      <c r="K719" s="1347">
        <v>549</v>
      </c>
      <c r="L719" s="1348"/>
      <c r="M719" s="1348"/>
      <c r="N719" s="1349"/>
      <c r="O719" s="1344">
        <v>809</v>
      </c>
      <c r="P719" s="1345"/>
      <c r="Q719" s="1345"/>
      <c r="R719" s="1345"/>
      <c r="S719" s="1346"/>
      <c r="T719" s="1344">
        <v>43</v>
      </c>
      <c r="U719" s="1345"/>
      <c r="V719" s="1345"/>
      <c r="W719" s="1346"/>
      <c r="X719" s="1496">
        <f t="shared" si="8"/>
        <v>852</v>
      </c>
      <c r="Y719" s="1433"/>
      <c r="Z719" s="1433"/>
      <c r="AA719" s="1433"/>
      <c r="AB719" s="1497"/>
      <c r="AC719" s="1351">
        <v>0.3</v>
      </c>
      <c r="AD719" s="1352"/>
      <c r="AE719" s="1352"/>
      <c r="AF719" s="1352"/>
      <c r="AG719" s="1353"/>
      <c r="AH719" s="1338">
        <f t="shared" ref="AH719:AH752" si="36">IF($AC719&gt;0,($X719/$AZ719), "")</f>
        <v>0.3</v>
      </c>
      <c r="AI719" s="1339"/>
      <c r="AJ719" s="1340"/>
      <c r="AK719" s="1382" t="s">
        <v>590</v>
      </c>
      <c r="AL719" s="1383"/>
      <c r="AM719" s="1383"/>
      <c r="AN719" s="1383"/>
      <c r="AO719" s="1384"/>
      <c r="AP719" s="3"/>
      <c r="AQ719" s="3"/>
      <c r="AR719" s="3"/>
      <c r="AS719" s="3"/>
      <c r="AZ719" s="118">
        <f t="shared" si="9"/>
        <v>2840</v>
      </c>
      <c r="BA719" s="3"/>
      <c r="BB719" s="3"/>
      <c r="BC719" s="3"/>
      <c r="BD719" s="3"/>
      <c r="BE719" s="204"/>
      <c r="BF719" s="294">
        <f t="shared" si="10"/>
        <v>7</v>
      </c>
      <c r="BG719" s="297">
        <f t="shared" si="11"/>
        <v>5.5118110236220472E-2</v>
      </c>
      <c r="BH719" s="298">
        <f t="shared" si="12"/>
        <v>1.6535433070866142E-2</v>
      </c>
      <c r="BI719" s="3"/>
      <c r="BJ719" s="3"/>
      <c r="BK719" s="3"/>
      <c r="BL719" s="3"/>
      <c r="BM719" s="3"/>
      <c r="BN719" s="3"/>
      <c r="BS719" s="294">
        <f t="shared" si="13"/>
        <v>7</v>
      </c>
      <c r="BT719" s="297">
        <f t="shared" si="14"/>
        <v>5.5118110236220472E-2</v>
      </c>
      <c r="BU719" s="298">
        <f t="shared" si="15"/>
        <v>1.6535433070866142E-2</v>
      </c>
      <c r="CC719" s="3"/>
      <c r="CD719" s="3"/>
      <c r="CE719" s="3"/>
      <c r="CF719" s="3"/>
      <c r="CG719" s="1468">
        <f t="shared" ref="CG719:CG752" si="37">IF(AND(AC719&lt;=0.5,AC719&gt;=0.36),1,0)</f>
        <v>0</v>
      </c>
      <c r="CH719" s="1470"/>
      <c r="CI719" s="1480">
        <f t="shared" ref="CI719:CI752" si="38">IF(CG719=1,G719,0)</f>
        <v>0</v>
      </c>
      <c r="CJ719" s="1481"/>
      <c r="CK719" s="1468">
        <f t="shared" si="16"/>
        <v>1</v>
      </c>
      <c r="CL719" s="1470"/>
      <c r="CM719" s="1480">
        <f t="shared" si="17"/>
        <v>7</v>
      </c>
      <c r="CN719" s="1481"/>
      <c r="CO719" s="3"/>
      <c r="CP719" s="1472">
        <f t="shared" si="18"/>
        <v>0</v>
      </c>
      <c r="CQ719" s="1473"/>
      <c r="CR719" s="1473"/>
      <c r="CS719" s="1473"/>
      <c r="CT719" s="1474"/>
      <c r="CU719" s="1455">
        <f t="shared" si="19"/>
        <v>7</v>
      </c>
      <c r="CV719" s="1455"/>
      <c r="CW719" s="1455"/>
      <c r="CX719" s="1455"/>
      <c r="CY719" s="1455"/>
      <c r="CZ719" s="1455">
        <f t="shared" si="20"/>
        <v>0</v>
      </c>
      <c r="DA719" s="1455"/>
      <c r="DB719" s="1455"/>
      <c r="DC719" s="1455"/>
      <c r="DD719" s="1455"/>
      <c r="DE719" s="1455">
        <f t="shared" si="21"/>
        <v>0</v>
      </c>
      <c r="DF719" s="1455"/>
      <c r="DG719" s="1455"/>
      <c r="DH719" s="1455"/>
      <c r="DI719" s="1455"/>
      <c r="DJ719" s="1455">
        <f t="shared" si="22"/>
        <v>0</v>
      </c>
      <c r="DK719" s="1455"/>
      <c r="DL719" s="1455"/>
      <c r="DM719" s="1455"/>
      <c r="DN719" s="1455"/>
      <c r="DO719" s="1455">
        <f t="shared" si="23"/>
        <v>0</v>
      </c>
      <c r="DP719" s="1455"/>
      <c r="DQ719" s="1455"/>
      <c r="DR719" s="1455"/>
      <c r="DS719" s="1455"/>
      <c r="DT719" s="6"/>
      <c r="DU719" s="1456">
        <f t="shared" si="24"/>
        <v>0</v>
      </c>
      <c r="DV719" s="1456"/>
      <c r="DW719" s="1456"/>
      <c r="DX719" s="1456"/>
      <c r="DY719" s="1456"/>
      <c r="DZ719" s="1456">
        <f t="shared" si="25"/>
        <v>7</v>
      </c>
      <c r="EA719" s="1456"/>
      <c r="EB719" s="1456"/>
      <c r="EC719" s="1456"/>
      <c r="ED719" s="1456"/>
      <c r="EE719" s="1456">
        <f t="shared" si="26"/>
        <v>0</v>
      </c>
      <c r="EF719" s="1456"/>
      <c r="EG719" s="1456"/>
      <c r="EH719" s="1456"/>
      <c r="EI719" s="1456"/>
      <c r="EJ719" s="1456">
        <f t="shared" si="27"/>
        <v>0</v>
      </c>
      <c r="EK719" s="1456"/>
      <c r="EL719" s="1456"/>
      <c r="EM719" s="1456"/>
      <c r="EN719" s="1456"/>
      <c r="EO719" s="1456">
        <f t="shared" si="28"/>
        <v>0</v>
      </c>
      <c r="EP719" s="1456"/>
      <c r="EQ719" s="1456"/>
      <c r="ER719" s="1456"/>
      <c r="ES719" s="1456"/>
      <c r="ET719" s="1456">
        <f t="shared" si="29"/>
        <v>0</v>
      </c>
      <c r="EU719" s="1456"/>
      <c r="EV719" s="1456"/>
      <c r="EW719" s="1456"/>
      <c r="EX719" s="1456"/>
      <c r="EY719" s="4"/>
      <c r="EZ719" s="1468" t="str">
        <f t="shared" si="30"/>
        <v/>
      </c>
      <c r="FA719" s="1469"/>
      <c r="FB719" s="1469"/>
      <c r="FC719" s="1469"/>
      <c r="FD719" s="1470"/>
      <c r="FE719" s="1468">
        <f t="shared" si="31"/>
        <v>809</v>
      </c>
      <c r="FF719" s="1469"/>
      <c r="FG719" s="1469"/>
      <c r="FH719" s="1469"/>
      <c r="FI719" s="1470"/>
      <c r="FJ719" s="1468" t="str">
        <f t="shared" si="32"/>
        <v/>
      </c>
      <c r="FK719" s="1469"/>
      <c r="FL719" s="1469"/>
      <c r="FM719" s="1469"/>
      <c r="FN719" s="1470"/>
      <c r="FO719" s="1468" t="str">
        <f t="shared" si="33"/>
        <v/>
      </c>
      <c r="FP719" s="1469"/>
      <c r="FQ719" s="1469"/>
      <c r="FR719" s="1469"/>
      <c r="FS719" s="1470"/>
      <c r="FT719" s="1468" t="str">
        <f t="shared" si="34"/>
        <v/>
      </c>
      <c r="FU719" s="1469"/>
      <c r="FV719" s="1469"/>
      <c r="FW719" s="1469"/>
      <c r="FX719" s="1470"/>
      <c r="FY719" s="1468" t="str">
        <f t="shared" si="35"/>
        <v/>
      </c>
      <c r="FZ719" s="1469"/>
      <c r="GA719" s="1469"/>
      <c r="GB719" s="1469"/>
      <c r="GC719" s="1470"/>
    </row>
    <row r="720" spans="1:185" ht="12.95" customHeight="1">
      <c r="A720" s="4"/>
      <c r="B720" s="1382" t="s">
        <v>324</v>
      </c>
      <c r="C720" s="1383"/>
      <c r="D720" s="1383"/>
      <c r="E720" s="1383"/>
      <c r="F720" s="1384"/>
      <c r="G720" s="1341">
        <v>2</v>
      </c>
      <c r="H720" s="1342"/>
      <c r="I720" s="1342"/>
      <c r="J720" s="1343"/>
      <c r="K720" s="1347">
        <v>549</v>
      </c>
      <c r="L720" s="1348"/>
      <c r="M720" s="1348"/>
      <c r="N720" s="1349"/>
      <c r="O720" s="1344">
        <v>1377</v>
      </c>
      <c r="P720" s="1345"/>
      <c r="Q720" s="1345"/>
      <c r="R720" s="1345"/>
      <c r="S720" s="1346"/>
      <c r="T720" s="1344">
        <v>43</v>
      </c>
      <c r="U720" s="1345"/>
      <c r="V720" s="1345"/>
      <c r="W720" s="1346"/>
      <c r="X720" s="1496">
        <f t="shared" si="8"/>
        <v>1420</v>
      </c>
      <c r="Y720" s="1433"/>
      <c r="Z720" s="1433"/>
      <c r="AA720" s="1433"/>
      <c r="AB720" s="1497"/>
      <c r="AC720" s="1351">
        <v>0.5</v>
      </c>
      <c r="AD720" s="1352"/>
      <c r="AE720" s="1352"/>
      <c r="AF720" s="1352"/>
      <c r="AG720" s="1353"/>
      <c r="AH720" s="1338">
        <f t="shared" si="36"/>
        <v>0.5</v>
      </c>
      <c r="AI720" s="1339"/>
      <c r="AJ720" s="1340"/>
      <c r="AK720" s="1382" t="s">
        <v>590</v>
      </c>
      <c r="AL720" s="1383"/>
      <c r="AM720" s="1383"/>
      <c r="AN720" s="1383"/>
      <c r="AO720" s="1384"/>
      <c r="AP720" s="3"/>
      <c r="AQ720" s="3"/>
      <c r="AR720" s="3"/>
      <c r="AS720" s="3"/>
      <c r="AZ720" s="118">
        <f t="shared" si="9"/>
        <v>2840</v>
      </c>
      <c r="BA720" s="3"/>
      <c r="BB720" s="3"/>
      <c r="BC720" s="3"/>
      <c r="BD720" s="3"/>
      <c r="BE720" s="204"/>
      <c r="BF720" s="294">
        <f t="shared" si="10"/>
        <v>2</v>
      </c>
      <c r="BG720" s="297">
        <f t="shared" si="11"/>
        <v>1.5748031496062992E-2</v>
      </c>
      <c r="BH720" s="298">
        <f t="shared" si="12"/>
        <v>7.874015748031496E-3</v>
      </c>
      <c r="BI720" s="3"/>
      <c r="BJ720" s="3"/>
      <c r="BK720" s="3"/>
      <c r="BL720" s="3"/>
      <c r="BM720" s="3"/>
      <c r="BN720" s="3"/>
      <c r="BS720" s="294">
        <f t="shared" si="13"/>
        <v>2</v>
      </c>
      <c r="BT720" s="297">
        <f t="shared" si="14"/>
        <v>1.5748031496062992E-2</v>
      </c>
      <c r="BU720" s="298">
        <f t="shared" si="15"/>
        <v>7.874015748031496E-3</v>
      </c>
      <c r="CC720" s="3"/>
      <c r="CD720" s="3"/>
      <c r="CE720" s="3"/>
      <c r="CF720" s="3"/>
      <c r="CG720" s="1468">
        <f t="shared" si="37"/>
        <v>1</v>
      </c>
      <c r="CH720" s="1470"/>
      <c r="CI720" s="1480">
        <f t="shared" si="38"/>
        <v>2</v>
      </c>
      <c r="CJ720" s="1481"/>
      <c r="CK720" s="1468">
        <f t="shared" si="16"/>
        <v>0</v>
      </c>
      <c r="CL720" s="1470"/>
      <c r="CM720" s="1480">
        <f t="shared" si="17"/>
        <v>0</v>
      </c>
      <c r="CN720" s="1481"/>
      <c r="CO720" s="3"/>
      <c r="CP720" s="1472">
        <f t="shared" si="18"/>
        <v>0</v>
      </c>
      <c r="CQ720" s="1473"/>
      <c r="CR720" s="1473"/>
      <c r="CS720" s="1473"/>
      <c r="CT720" s="1474"/>
      <c r="CU720" s="1455">
        <f t="shared" si="19"/>
        <v>2</v>
      </c>
      <c r="CV720" s="1455"/>
      <c r="CW720" s="1455"/>
      <c r="CX720" s="1455"/>
      <c r="CY720" s="1455"/>
      <c r="CZ720" s="1455">
        <f t="shared" si="20"/>
        <v>0</v>
      </c>
      <c r="DA720" s="1455"/>
      <c r="DB720" s="1455"/>
      <c r="DC720" s="1455"/>
      <c r="DD720" s="1455"/>
      <c r="DE720" s="1455">
        <f t="shared" si="21"/>
        <v>0</v>
      </c>
      <c r="DF720" s="1455"/>
      <c r="DG720" s="1455"/>
      <c r="DH720" s="1455"/>
      <c r="DI720" s="1455"/>
      <c r="DJ720" s="1455">
        <f t="shared" si="22"/>
        <v>0</v>
      </c>
      <c r="DK720" s="1455"/>
      <c r="DL720" s="1455"/>
      <c r="DM720" s="1455"/>
      <c r="DN720" s="1455"/>
      <c r="DO720" s="1455">
        <f t="shared" si="23"/>
        <v>0</v>
      </c>
      <c r="DP720" s="1455"/>
      <c r="DQ720" s="1455"/>
      <c r="DR720" s="1455"/>
      <c r="DS720" s="1455"/>
      <c r="DT720" s="6"/>
      <c r="DU720" s="1456">
        <f t="shared" si="24"/>
        <v>0</v>
      </c>
      <c r="DV720" s="1456"/>
      <c r="DW720" s="1456"/>
      <c r="DX720" s="1456"/>
      <c r="DY720" s="1456"/>
      <c r="DZ720" s="1456">
        <f t="shared" si="25"/>
        <v>0</v>
      </c>
      <c r="EA720" s="1456"/>
      <c r="EB720" s="1456"/>
      <c r="EC720" s="1456"/>
      <c r="ED720" s="1456"/>
      <c r="EE720" s="1456">
        <f t="shared" si="26"/>
        <v>0</v>
      </c>
      <c r="EF720" s="1456"/>
      <c r="EG720" s="1456"/>
      <c r="EH720" s="1456"/>
      <c r="EI720" s="1456"/>
      <c r="EJ720" s="1456">
        <f t="shared" si="27"/>
        <v>0</v>
      </c>
      <c r="EK720" s="1456"/>
      <c r="EL720" s="1456"/>
      <c r="EM720" s="1456"/>
      <c r="EN720" s="1456"/>
      <c r="EO720" s="1456">
        <f t="shared" si="28"/>
        <v>0</v>
      </c>
      <c r="EP720" s="1456"/>
      <c r="EQ720" s="1456"/>
      <c r="ER720" s="1456"/>
      <c r="ES720" s="1456"/>
      <c r="ET720" s="1456">
        <f t="shared" si="29"/>
        <v>0</v>
      </c>
      <c r="EU720" s="1456"/>
      <c r="EV720" s="1456"/>
      <c r="EW720" s="1456"/>
      <c r="EX720" s="1456"/>
      <c r="EZ720" s="1468" t="str">
        <f t="shared" si="30"/>
        <v/>
      </c>
      <c r="FA720" s="1469"/>
      <c r="FB720" s="1469"/>
      <c r="FC720" s="1469"/>
      <c r="FD720" s="1470"/>
      <c r="FE720" s="1468">
        <f t="shared" si="31"/>
        <v>1377</v>
      </c>
      <c r="FF720" s="1469"/>
      <c r="FG720" s="1469"/>
      <c r="FH720" s="1469"/>
      <c r="FI720" s="1470"/>
      <c r="FJ720" s="1468" t="str">
        <f t="shared" si="32"/>
        <v/>
      </c>
      <c r="FK720" s="1469"/>
      <c r="FL720" s="1469"/>
      <c r="FM720" s="1469"/>
      <c r="FN720" s="1470"/>
      <c r="FO720" s="1468" t="str">
        <f t="shared" si="33"/>
        <v/>
      </c>
      <c r="FP720" s="1469"/>
      <c r="FQ720" s="1469"/>
      <c r="FR720" s="1469"/>
      <c r="FS720" s="1470"/>
      <c r="FT720" s="1468" t="str">
        <f t="shared" si="34"/>
        <v/>
      </c>
      <c r="FU720" s="1469"/>
      <c r="FV720" s="1469"/>
      <c r="FW720" s="1469"/>
      <c r="FX720" s="1470"/>
      <c r="FY720" s="1468" t="str">
        <f t="shared" si="35"/>
        <v/>
      </c>
      <c r="FZ720" s="1469"/>
      <c r="GA720" s="1469"/>
      <c r="GB720" s="1469"/>
      <c r="GC720" s="1470"/>
    </row>
    <row r="721" spans="1:185" ht="12.95" customHeight="1">
      <c r="B721" s="1382" t="s">
        <v>324</v>
      </c>
      <c r="C721" s="1383"/>
      <c r="D721" s="1383"/>
      <c r="E721" s="1383"/>
      <c r="F721" s="1384"/>
      <c r="G721" s="1341">
        <v>9</v>
      </c>
      <c r="H721" s="1342"/>
      <c r="I721" s="1342"/>
      <c r="J721" s="1343"/>
      <c r="K721" s="1347">
        <v>549</v>
      </c>
      <c r="L721" s="1348"/>
      <c r="M721" s="1348"/>
      <c r="N721" s="1349"/>
      <c r="O721" s="1344">
        <v>1661</v>
      </c>
      <c r="P721" s="1345"/>
      <c r="Q721" s="1345"/>
      <c r="R721" s="1345"/>
      <c r="S721" s="1346"/>
      <c r="T721" s="1344">
        <v>43</v>
      </c>
      <c r="U721" s="1345"/>
      <c r="V721" s="1345"/>
      <c r="W721" s="1346"/>
      <c r="X721" s="1496">
        <f t="shared" si="8"/>
        <v>1704</v>
      </c>
      <c r="Y721" s="1433"/>
      <c r="Z721" s="1433"/>
      <c r="AA721" s="1433"/>
      <c r="AB721" s="1497"/>
      <c r="AC721" s="1351">
        <v>0.6</v>
      </c>
      <c r="AD721" s="1352"/>
      <c r="AE721" s="1352"/>
      <c r="AF721" s="1352"/>
      <c r="AG721" s="1353"/>
      <c r="AH721" s="1338">
        <f t="shared" si="36"/>
        <v>0.6</v>
      </c>
      <c r="AI721" s="1339"/>
      <c r="AJ721" s="1340"/>
      <c r="AK721" s="1382" t="s">
        <v>590</v>
      </c>
      <c r="AL721" s="1383"/>
      <c r="AM721" s="1383"/>
      <c r="AN721" s="1383"/>
      <c r="AO721" s="1384"/>
      <c r="AP721" s="3"/>
      <c r="AQ721" s="3"/>
      <c r="AR721" s="3"/>
      <c r="AS721" s="3"/>
      <c r="AY721" s="116"/>
      <c r="AZ721" s="118">
        <f t="shared" si="9"/>
        <v>2840</v>
      </c>
      <c r="BA721" s="3"/>
      <c r="BB721" s="3"/>
      <c r="BC721" s="3"/>
      <c r="BD721" s="3"/>
      <c r="BE721" s="204"/>
      <c r="BF721" s="294">
        <f t="shared" si="10"/>
        <v>9</v>
      </c>
      <c r="BG721" s="297">
        <f t="shared" si="11"/>
        <v>7.0866141732283464E-2</v>
      </c>
      <c r="BH721" s="298">
        <f t="shared" si="12"/>
        <v>4.2519685039370078E-2</v>
      </c>
      <c r="BI721" s="3"/>
      <c r="BJ721" s="3"/>
      <c r="BK721" s="3"/>
      <c r="BL721" s="3"/>
      <c r="BM721" s="3"/>
      <c r="BN721" s="3"/>
      <c r="BS721" s="294">
        <f t="shared" si="13"/>
        <v>9</v>
      </c>
      <c r="BT721" s="297">
        <f t="shared" si="14"/>
        <v>7.0866141732283464E-2</v>
      </c>
      <c r="BU721" s="298">
        <f t="shared" si="15"/>
        <v>4.2519685039370078E-2</v>
      </c>
      <c r="CC721" s="3"/>
      <c r="CD721" s="3"/>
      <c r="CE721" s="3"/>
      <c r="CF721" s="3"/>
      <c r="CG721" s="1468">
        <f t="shared" si="37"/>
        <v>0</v>
      </c>
      <c r="CH721" s="1470"/>
      <c r="CI721" s="1480">
        <f t="shared" si="38"/>
        <v>0</v>
      </c>
      <c r="CJ721" s="1481"/>
      <c r="CK721" s="1468">
        <f t="shared" si="16"/>
        <v>0</v>
      </c>
      <c r="CL721" s="1470"/>
      <c r="CM721" s="1480">
        <f t="shared" si="17"/>
        <v>0</v>
      </c>
      <c r="CN721" s="1481"/>
      <c r="CO721" s="3"/>
      <c r="CP721" s="1472">
        <f t="shared" si="18"/>
        <v>0</v>
      </c>
      <c r="CQ721" s="1473"/>
      <c r="CR721" s="1473"/>
      <c r="CS721" s="1473"/>
      <c r="CT721" s="1474"/>
      <c r="CU721" s="1455">
        <f t="shared" si="19"/>
        <v>9</v>
      </c>
      <c r="CV721" s="1455"/>
      <c r="CW721" s="1455"/>
      <c r="CX721" s="1455"/>
      <c r="CY721" s="1455"/>
      <c r="CZ721" s="1455">
        <f t="shared" si="20"/>
        <v>0</v>
      </c>
      <c r="DA721" s="1455"/>
      <c r="DB721" s="1455"/>
      <c r="DC721" s="1455"/>
      <c r="DD721" s="1455"/>
      <c r="DE721" s="1455">
        <f t="shared" si="21"/>
        <v>0</v>
      </c>
      <c r="DF721" s="1455"/>
      <c r="DG721" s="1455"/>
      <c r="DH721" s="1455"/>
      <c r="DI721" s="1455"/>
      <c r="DJ721" s="1455">
        <f t="shared" si="22"/>
        <v>0</v>
      </c>
      <c r="DK721" s="1455"/>
      <c r="DL721" s="1455"/>
      <c r="DM721" s="1455"/>
      <c r="DN721" s="1455"/>
      <c r="DO721" s="1455">
        <f t="shared" si="23"/>
        <v>0</v>
      </c>
      <c r="DP721" s="1455"/>
      <c r="DQ721" s="1455"/>
      <c r="DR721" s="1455"/>
      <c r="DS721" s="1455"/>
      <c r="DT721" s="6"/>
      <c r="DU721" s="1456">
        <f t="shared" si="24"/>
        <v>0</v>
      </c>
      <c r="DV721" s="1456"/>
      <c r="DW721" s="1456"/>
      <c r="DX721" s="1456"/>
      <c r="DY721" s="1456"/>
      <c r="DZ721" s="1456">
        <f t="shared" si="25"/>
        <v>0</v>
      </c>
      <c r="EA721" s="1456"/>
      <c r="EB721" s="1456"/>
      <c r="EC721" s="1456"/>
      <c r="ED721" s="1456"/>
      <c r="EE721" s="1456">
        <f t="shared" si="26"/>
        <v>0</v>
      </c>
      <c r="EF721" s="1456"/>
      <c r="EG721" s="1456"/>
      <c r="EH721" s="1456"/>
      <c r="EI721" s="1456"/>
      <c r="EJ721" s="1456">
        <f t="shared" si="27"/>
        <v>0</v>
      </c>
      <c r="EK721" s="1456"/>
      <c r="EL721" s="1456"/>
      <c r="EM721" s="1456"/>
      <c r="EN721" s="1456"/>
      <c r="EO721" s="1456">
        <f t="shared" si="28"/>
        <v>0</v>
      </c>
      <c r="EP721" s="1456"/>
      <c r="EQ721" s="1456"/>
      <c r="ER721" s="1456"/>
      <c r="ES721" s="1456"/>
      <c r="ET721" s="1456">
        <f t="shared" si="29"/>
        <v>0</v>
      </c>
      <c r="EU721" s="1456"/>
      <c r="EV721" s="1456"/>
      <c r="EW721" s="1456"/>
      <c r="EX721" s="1456"/>
      <c r="EZ721" s="1468" t="str">
        <f t="shared" si="30"/>
        <v/>
      </c>
      <c r="FA721" s="1469"/>
      <c r="FB721" s="1469"/>
      <c r="FC721" s="1469"/>
      <c r="FD721" s="1470"/>
      <c r="FE721" s="1468">
        <f t="shared" si="31"/>
        <v>1661</v>
      </c>
      <c r="FF721" s="1469"/>
      <c r="FG721" s="1469"/>
      <c r="FH721" s="1469"/>
      <c r="FI721" s="1470"/>
      <c r="FJ721" s="1468" t="str">
        <f t="shared" si="32"/>
        <v/>
      </c>
      <c r="FK721" s="1469"/>
      <c r="FL721" s="1469"/>
      <c r="FM721" s="1469"/>
      <c r="FN721" s="1470"/>
      <c r="FO721" s="1468" t="str">
        <f t="shared" si="33"/>
        <v/>
      </c>
      <c r="FP721" s="1469"/>
      <c r="FQ721" s="1469"/>
      <c r="FR721" s="1469"/>
      <c r="FS721" s="1470"/>
      <c r="FT721" s="1468" t="str">
        <f t="shared" si="34"/>
        <v/>
      </c>
      <c r="FU721" s="1469"/>
      <c r="FV721" s="1469"/>
      <c r="FW721" s="1469"/>
      <c r="FX721" s="1470"/>
      <c r="FY721" s="1468" t="str">
        <f t="shared" si="35"/>
        <v/>
      </c>
      <c r="FZ721" s="1469"/>
      <c r="GA721" s="1469"/>
      <c r="GB721" s="1469"/>
      <c r="GC721" s="1470"/>
    </row>
    <row r="722" spans="1:185" ht="12.95" customHeight="1">
      <c r="B722" s="1382" t="s">
        <v>163</v>
      </c>
      <c r="C722" s="1383"/>
      <c r="D722" s="1383"/>
      <c r="E722" s="1383"/>
      <c r="F722" s="1384"/>
      <c r="G722" s="1341">
        <v>7</v>
      </c>
      <c r="H722" s="1342"/>
      <c r="I722" s="1342"/>
      <c r="J722" s="1343"/>
      <c r="K722" s="1347">
        <v>869</v>
      </c>
      <c r="L722" s="1348"/>
      <c r="M722" s="1348"/>
      <c r="N722" s="1349"/>
      <c r="O722" s="1344">
        <v>1647</v>
      </c>
      <c r="P722" s="1345"/>
      <c r="Q722" s="1345"/>
      <c r="R722" s="1345"/>
      <c r="S722" s="1346"/>
      <c r="T722" s="1344">
        <v>56</v>
      </c>
      <c r="U722" s="1345"/>
      <c r="V722" s="1345"/>
      <c r="W722" s="1346"/>
      <c r="X722" s="1496">
        <f t="shared" si="8"/>
        <v>1703</v>
      </c>
      <c r="Y722" s="1433"/>
      <c r="Z722" s="1433"/>
      <c r="AA722" s="1433"/>
      <c r="AB722" s="1497"/>
      <c r="AC722" s="1351">
        <v>0.5</v>
      </c>
      <c r="AD722" s="1352"/>
      <c r="AE722" s="1352"/>
      <c r="AF722" s="1352"/>
      <c r="AG722" s="1353"/>
      <c r="AH722" s="1338">
        <f t="shared" si="36"/>
        <v>0.5</v>
      </c>
      <c r="AI722" s="1339"/>
      <c r="AJ722" s="1340"/>
      <c r="AK722" s="1382" t="s">
        <v>590</v>
      </c>
      <c r="AL722" s="1383"/>
      <c r="AM722" s="1383"/>
      <c r="AN722" s="1383"/>
      <c r="AO722" s="1384"/>
      <c r="AP722" s="3"/>
      <c r="AQ722" s="3"/>
      <c r="AR722" s="3"/>
      <c r="AS722" s="3"/>
      <c r="AY722" s="116"/>
      <c r="AZ722" s="118">
        <f t="shared" si="9"/>
        <v>3406</v>
      </c>
      <c r="BA722" s="3"/>
      <c r="BB722" s="3"/>
      <c r="BC722" s="3"/>
      <c r="BD722" s="3"/>
      <c r="BE722" s="204"/>
      <c r="BF722" s="294">
        <f t="shared" si="10"/>
        <v>7</v>
      </c>
      <c r="BG722" s="297">
        <f t="shared" si="11"/>
        <v>5.5118110236220472E-2</v>
      </c>
      <c r="BH722" s="298">
        <f t="shared" si="12"/>
        <v>2.7559055118110236E-2</v>
      </c>
      <c r="BI722" s="3"/>
      <c r="BJ722" s="3"/>
      <c r="BK722" s="3"/>
      <c r="BL722" s="3"/>
      <c r="BM722" s="3"/>
      <c r="BN722" s="3"/>
      <c r="BS722" s="294">
        <f t="shared" si="13"/>
        <v>7</v>
      </c>
      <c r="BT722" s="297">
        <f t="shared" si="14"/>
        <v>5.5118110236220472E-2</v>
      </c>
      <c r="BU722" s="298">
        <f t="shared" si="15"/>
        <v>2.7559055118110236E-2</v>
      </c>
      <c r="CC722" s="3"/>
      <c r="CD722" s="3"/>
      <c r="CE722" s="3"/>
      <c r="CF722" s="3"/>
      <c r="CG722" s="1468">
        <f t="shared" si="37"/>
        <v>1</v>
      </c>
      <c r="CH722" s="1470"/>
      <c r="CI722" s="1480">
        <f t="shared" si="38"/>
        <v>7</v>
      </c>
      <c r="CJ722" s="1481"/>
      <c r="CK722" s="1468">
        <f t="shared" si="16"/>
        <v>0</v>
      </c>
      <c r="CL722" s="1470"/>
      <c r="CM722" s="1480">
        <f t="shared" si="17"/>
        <v>0</v>
      </c>
      <c r="CN722" s="1481"/>
      <c r="CO722" s="3"/>
      <c r="CP722" s="1472">
        <f t="shared" si="18"/>
        <v>0</v>
      </c>
      <c r="CQ722" s="1473"/>
      <c r="CR722" s="1473"/>
      <c r="CS722" s="1473"/>
      <c r="CT722" s="1474"/>
      <c r="CU722" s="1455">
        <f t="shared" si="19"/>
        <v>0</v>
      </c>
      <c r="CV722" s="1455"/>
      <c r="CW722" s="1455"/>
      <c r="CX722" s="1455"/>
      <c r="CY722" s="1455"/>
      <c r="CZ722" s="1455">
        <f t="shared" si="20"/>
        <v>7</v>
      </c>
      <c r="DA722" s="1455"/>
      <c r="DB722" s="1455"/>
      <c r="DC722" s="1455"/>
      <c r="DD722" s="1455"/>
      <c r="DE722" s="1455">
        <f t="shared" si="21"/>
        <v>0</v>
      </c>
      <c r="DF722" s="1455"/>
      <c r="DG722" s="1455"/>
      <c r="DH722" s="1455"/>
      <c r="DI722" s="1455"/>
      <c r="DJ722" s="1455">
        <f t="shared" si="22"/>
        <v>0</v>
      </c>
      <c r="DK722" s="1455"/>
      <c r="DL722" s="1455"/>
      <c r="DM722" s="1455"/>
      <c r="DN722" s="1455"/>
      <c r="DO722" s="1455">
        <f t="shared" si="23"/>
        <v>0</v>
      </c>
      <c r="DP722" s="1455"/>
      <c r="DQ722" s="1455"/>
      <c r="DR722" s="1455"/>
      <c r="DS722" s="1455"/>
      <c r="DT722" s="6"/>
      <c r="DU722" s="1456">
        <f t="shared" si="24"/>
        <v>0</v>
      </c>
      <c r="DV722" s="1456"/>
      <c r="DW722" s="1456"/>
      <c r="DX722" s="1456"/>
      <c r="DY722" s="1456"/>
      <c r="DZ722" s="1456">
        <f t="shared" si="25"/>
        <v>0</v>
      </c>
      <c r="EA722" s="1456"/>
      <c r="EB722" s="1456"/>
      <c r="EC722" s="1456"/>
      <c r="ED722" s="1456"/>
      <c r="EE722" s="1456">
        <f t="shared" si="26"/>
        <v>0</v>
      </c>
      <c r="EF722" s="1456"/>
      <c r="EG722" s="1456"/>
      <c r="EH722" s="1456"/>
      <c r="EI722" s="1456"/>
      <c r="EJ722" s="1456">
        <f t="shared" si="27"/>
        <v>0</v>
      </c>
      <c r="EK722" s="1456"/>
      <c r="EL722" s="1456"/>
      <c r="EM722" s="1456"/>
      <c r="EN722" s="1456"/>
      <c r="EO722" s="1456">
        <f t="shared" si="28"/>
        <v>0</v>
      </c>
      <c r="EP722" s="1456"/>
      <c r="EQ722" s="1456"/>
      <c r="ER722" s="1456"/>
      <c r="ES722" s="1456"/>
      <c r="ET722" s="1456">
        <f t="shared" si="29"/>
        <v>0</v>
      </c>
      <c r="EU722" s="1456"/>
      <c r="EV722" s="1456"/>
      <c r="EW722" s="1456"/>
      <c r="EX722" s="1456"/>
      <c r="EZ722" s="1468" t="str">
        <f t="shared" si="30"/>
        <v/>
      </c>
      <c r="FA722" s="1469"/>
      <c r="FB722" s="1469"/>
      <c r="FC722" s="1469"/>
      <c r="FD722" s="1470"/>
      <c r="FE722" s="1468" t="str">
        <f t="shared" si="31"/>
        <v/>
      </c>
      <c r="FF722" s="1469"/>
      <c r="FG722" s="1469"/>
      <c r="FH722" s="1469"/>
      <c r="FI722" s="1470"/>
      <c r="FJ722" s="1468">
        <f t="shared" si="32"/>
        <v>1647</v>
      </c>
      <c r="FK722" s="1469"/>
      <c r="FL722" s="1469"/>
      <c r="FM722" s="1469"/>
      <c r="FN722" s="1470"/>
      <c r="FO722" s="1468" t="str">
        <f t="shared" si="33"/>
        <v/>
      </c>
      <c r="FP722" s="1469"/>
      <c r="FQ722" s="1469"/>
      <c r="FR722" s="1469"/>
      <c r="FS722" s="1470"/>
      <c r="FT722" s="1468" t="str">
        <f t="shared" si="34"/>
        <v/>
      </c>
      <c r="FU722" s="1469"/>
      <c r="FV722" s="1469"/>
      <c r="FW722" s="1469"/>
      <c r="FX722" s="1470"/>
      <c r="FY722" s="1468" t="str">
        <f t="shared" si="35"/>
        <v/>
      </c>
      <c r="FZ722" s="1469"/>
      <c r="GA722" s="1469"/>
      <c r="GB722" s="1469"/>
      <c r="GC722" s="1470"/>
    </row>
    <row r="723" spans="1:185" ht="12.95" customHeight="1">
      <c r="B723" s="1382" t="s">
        <v>163</v>
      </c>
      <c r="C723" s="1383"/>
      <c r="D723" s="1383"/>
      <c r="E723" s="1383"/>
      <c r="F723" s="1384"/>
      <c r="G723" s="1341">
        <v>40</v>
      </c>
      <c r="H723" s="1342"/>
      <c r="I723" s="1342"/>
      <c r="J723" s="1343"/>
      <c r="K723" s="1347">
        <v>869</v>
      </c>
      <c r="L723" s="1348"/>
      <c r="M723" s="1348"/>
      <c r="N723" s="1349"/>
      <c r="O723" s="1344">
        <v>1987.6</v>
      </c>
      <c r="P723" s="1345"/>
      <c r="Q723" s="1345"/>
      <c r="R723" s="1345"/>
      <c r="S723" s="1346"/>
      <c r="T723" s="1344">
        <v>56</v>
      </c>
      <c r="U723" s="1345"/>
      <c r="V723" s="1345"/>
      <c r="W723" s="1346"/>
      <c r="X723" s="1496">
        <f t="shared" si="8"/>
        <v>2043.6</v>
      </c>
      <c r="Y723" s="1433"/>
      <c r="Z723" s="1433"/>
      <c r="AA723" s="1433"/>
      <c r="AB723" s="1497"/>
      <c r="AC723" s="1351">
        <v>0.6</v>
      </c>
      <c r="AD723" s="1352"/>
      <c r="AE723" s="1352"/>
      <c r="AF723" s="1352"/>
      <c r="AG723" s="1353"/>
      <c r="AH723" s="1338">
        <f t="shared" si="36"/>
        <v>0.6</v>
      </c>
      <c r="AI723" s="1339"/>
      <c r="AJ723" s="1340"/>
      <c r="AK723" s="1382" t="s">
        <v>590</v>
      </c>
      <c r="AL723" s="1383"/>
      <c r="AM723" s="1383"/>
      <c r="AN723" s="1383"/>
      <c r="AO723" s="1384"/>
      <c r="AP723" s="3"/>
      <c r="AQ723" s="3"/>
      <c r="AR723" s="3"/>
      <c r="AS723" s="3"/>
      <c r="AY723" s="116"/>
      <c r="AZ723" s="118">
        <f t="shared" si="9"/>
        <v>3406</v>
      </c>
      <c r="BA723" s="3"/>
      <c r="BB723" s="3"/>
      <c r="BC723" s="3"/>
      <c r="BD723" s="3"/>
      <c r="BE723" s="204"/>
      <c r="BF723" s="294">
        <f t="shared" si="10"/>
        <v>40</v>
      </c>
      <c r="BG723" s="297">
        <f t="shared" si="11"/>
        <v>0.31496062992125984</v>
      </c>
      <c r="BH723" s="298">
        <f t="shared" si="12"/>
        <v>0.1889763779527559</v>
      </c>
      <c r="BI723" s="3"/>
      <c r="BJ723" s="3"/>
      <c r="BK723" s="3"/>
      <c r="BL723" s="3"/>
      <c r="BM723" s="3"/>
      <c r="BN723" s="3"/>
      <c r="BS723" s="294">
        <f t="shared" si="13"/>
        <v>40</v>
      </c>
      <c r="BT723" s="297">
        <f t="shared" si="14"/>
        <v>0.31496062992125984</v>
      </c>
      <c r="BU723" s="298">
        <f t="shared" si="15"/>
        <v>0.1889763779527559</v>
      </c>
      <c r="CC723" s="3"/>
      <c r="CD723" s="3"/>
      <c r="CE723" s="3"/>
      <c r="CF723" s="3"/>
      <c r="CG723" s="1468">
        <f t="shared" si="37"/>
        <v>0</v>
      </c>
      <c r="CH723" s="1470"/>
      <c r="CI723" s="1480">
        <f t="shared" si="38"/>
        <v>0</v>
      </c>
      <c r="CJ723" s="1481"/>
      <c r="CK723" s="1468">
        <f t="shared" si="16"/>
        <v>0</v>
      </c>
      <c r="CL723" s="1470"/>
      <c r="CM723" s="1480">
        <f t="shared" si="17"/>
        <v>0</v>
      </c>
      <c r="CN723" s="1481"/>
      <c r="CO723" s="3"/>
      <c r="CP723" s="1472">
        <f t="shared" si="18"/>
        <v>0</v>
      </c>
      <c r="CQ723" s="1473"/>
      <c r="CR723" s="1473"/>
      <c r="CS723" s="1473"/>
      <c r="CT723" s="1474"/>
      <c r="CU723" s="1455">
        <f t="shared" si="19"/>
        <v>0</v>
      </c>
      <c r="CV723" s="1455"/>
      <c r="CW723" s="1455"/>
      <c r="CX723" s="1455"/>
      <c r="CY723" s="1455"/>
      <c r="CZ723" s="1455">
        <f t="shared" si="20"/>
        <v>40</v>
      </c>
      <c r="DA723" s="1455"/>
      <c r="DB723" s="1455"/>
      <c r="DC723" s="1455"/>
      <c r="DD723" s="1455"/>
      <c r="DE723" s="1455">
        <f t="shared" si="21"/>
        <v>0</v>
      </c>
      <c r="DF723" s="1455"/>
      <c r="DG723" s="1455"/>
      <c r="DH723" s="1455"/>
      <c r="DI723" s="1455"/>
      <c r="DJ723" s="1455">
        <f t="shared" si="22"/>
        <v>0</v>
      </c>
      <c r="DK723" s="1455"/>
      <c r="DL723" s="1455"/>
      <c r="DM723" s="1455"/>
      <c r="DN723" s="1455"/>
      <c r="DO723" s="1455">
        <f t="shared" si="23"/>
        <v>0</v>
      </c>
      <c r="DP723" s="1455"/>
      <c r="DQ723" s="1455"/>
      <c r="DR723" s="1455"/>
      <c r="DS723" s="1455"/>
      <c r="DT723" s="6"/>
      <c r="DU723" s="1456">
        <f t="shared" si="24"/>
        <v>0</v>
      </c>
      <c r="DV723" s="1456"/>
      <c r="DW723" s="1456"/>
      <c r="DX723" s="1456"/>
      <c r="DY723" s="1456"/>
      <c r="DZ723" s="1456">
        <f t="shared" si="25"/>
        <v>0</v>
      </c>
      <c r="EA723" s="1456"/>
      <c r="EB723" s="1456"/>
      <c r="EC723" s="1456"/>
      <c r="ED723" s="1456"/>
      <c r="EE723" s="1456">
        <f t="shared" si="26"/>
        <v>0</v>
      </c>
      <c r="EF723" s="1456"/>
      <c r="EG723" s="1456"/>
      <c r="EH723" s="1456"/>
      <c r="EI723" s="1456"/>
      <c r="EJ723" s="1456">
        <f t="shared" si="27"/>
        <v>0</v>
      </c>
      <c r="EK723" s="1456"/>
      <c r="EL723" s="1456"/>
      <c r="EM723" s="1456"/>
      <c r="EN723" s="1456"/>
      <c r="EO723" s="1456">
        <f t="shared" si="28"/>
        <v>0</v>
      </c>
      <c r="EP723" s="1456"/>
      <c r="EQ723" s="1456"/>
      <c r="ER723" s="1456"/>
      <c r="ES723" s="1456"/>
      <c r="ET723" s="1456">
        <f t="shared" si="29"/>
        <v>0</v>
      </c>
      <c r="EU723" s="1456"/>
      <c r="EV723" s="1456"/>
      <c r="EW723" s="1456"/>
      <c r="EX723" s="1456"/>
      <c r="EZ723" s="1468" t="str">
        <f t="shared" si="30"/>
        <v/>
      </c>
      <c r="FA723" s="1469"/>
      <c r="FB723" s="1469"/>
      <c r="FC723" s="1469"/>
      <c r="FD723" s="1470"/>
      <c r="FE723" s="1468" t="str">
        <f t="shared" si="31"/>
        <v/>
      </c>
      <c r="FF723" s="1469"/>
      <c r="FG723" s="1469"/>
      <c r="FH723" s="1469"/>
      <c r="FI723" s="1470"/>
      <c r="FJ723" s="1468">
        <f t="shared" si="32"/>
        <v>1987.6</v>
      </c>
      <c r="FK723" s="1469"/>
      <c r="FL723" s="1469"/>
      <c r="FM723" s="1469"/>
      <c r="FN723" s="1470"/>
      <c r="FO723" s="1468" t="str">
        <f t="shared" si="33"/>
        <v/>
      </c>
      <c r="FP723" s="1469"/>
      <c r="FQ723" s="1469"/>
      <c r="FR723" s="1469"/>
      <c r="FS723" s="1470"/>
      <c r="FT723" s="1468" t="str">
        <f t="shared" si="34"/>
        <v/>
      </c>
      <c r="FU723" s="1469"/>
      <c r="FV723" s="1469"/>
      <c r="FW723" s="1469"/>
      <c r="FX723" s="1470"/>
      <c r="FY723" s="1468" t="str">
        <f t="shared" si="35"/>
        <v/>
      </c>
      <c r="FZ723" s="1469"/>
      <c r="GA723" s="1469"/>
      <c r="GB723" s="1469"/>
      <c r="GC723" s="1470"/>
    </row>
    <row r="724" spans="1:185" ht="12.95" customHeight="1">
      <c r="B724" s="1382" t="s">
        <v>163</v>
      </c>
      <c r="C724" s="1383"/>
      <c r="D724" s="1383"/>
      <c r="E724" s="1383"/>
      <c r="F724" s="1384"/>
      <c r="G724" s="1341">
        <v>19</v>
      </c>
      <c r="H724" s="1342"/>
      <c r="I724" s="1342"/>
      <c r="J724" s="1343"/>
      <c r="K724" s="1347">
        <v>869</v>
      </c>
      <c r="L724" s="1348"/>
      <c r="M724" s="1348"/>
      <c r="N724" s="1349"/>
      <c r="O724" s="1344">
        <v>2329</v>
      </c>
      <c r="P724" s="1345"/>
      <c r="Q724" s="1345"/>
      <c r="R724" s="1345"/>
      <c r="S724" s="1346"/>
      <c r="T724" s="1344">
        <v>56</v>
      </c>
      <c r="U724" s="1345"/>
      <c r="V724" s="1345"/>
      <c r="W724" s="1346"/>
      <c r="X724" s="1496">
        <f t="shared" si="8"/>
        <v>2385</v>
      </c>
      <c r="Y724" s="1433"/>
      <c r="Z724" s="1433"/>
      <c r="AA724" s="1433"/>
      <c r="AB724" s="1497"/>
      <c r="AC724" s="1351">
        <v>0.7</v>
      </c>
      <c r="AD724" s="1352"/>
      <c r="AE724" s="1352"/>
      <c r="AF724" s="1352"/>
      <c r="AG724" s="1353"/>
      <c r="AH724" s="1338">
        <f t="shared" si="36"/>
        <v>0.70023487962419262</v>
      </c>
      <c r="AI724" s="1339"/>
      <c r="AJ724" s="1340"/>
      <c r="AK724" s="1382" t="s">
        <v>590</v>
      </c>
      <c r="AL724" s="1383"/>
      <c r="AM724" s="1383"/>
      <c r="AN724" s="1383"/>
      <c r="AO724" s="1384"/>
      <c r="AP724" s="3"/>
      <c r="AQ724" s="3"/>
      <c r="AR724" s="3"/>
      <c r="AS724" s="3"/>
      <c r="AY724" s="116"/>
      <c r="AZ724" s="118">
        <f t="shared" si="9"/>
        <v>3406</v>
      </c>
      <c r="BA724" s="3"/>
      <c r="BB724" s="3"/>
      <c r="BC724" s="3"/>
      <c r="BD724" s="3"/>
      <c r="BE724" s="204"/>
      <c r="BF724" s="294">
        <f t="shared" si="10"/>
        <v>19</v>
      </c>
      <c r="BG724" s="297">
        <f t="shared" si="11"/>
        <v>0.14960629921259844</v>
      </c>
      <c r="BH724" s="298">
        <f t="shared" si="12"/>
        <v>0.1047244094488189</v>
      </c>
      <c r="BI724" s="3"/>
      <c r="BJ724" s="3"/>
      <c r="BK724" s="3"/>
      <c r="BL724" s="3"/>
      <c r="BM724" s="3"/>
      <c r="BN724" s="3"/>
      <c r="BS724" s="294">
        <f t="shared" si="13"/>
        <v>19</v>
      </c>
      <c r="BT724" s="297">
        <f t="shared" si="14"/>
        <v>0.14960629921259844</v>
      </c>
      <c r="BU724" s="298">
        <f t="shared" si="15"/>
        <v>0.10475954892015481</v>
      </c>
      <c r="CC724" s="3"/>
      <c r="CE724" s="3"/>
      <c r="CF724" s="3"/>
      <c r="CG724" s="1468">
        <f t="shared" si="37"/>
        <v>0</v>
      </c>
      <c r="CH724" s="1470"/>
      <c r="CI724" s="1480">
        <f t="shared" si="38"/>
        <v>0</v>
      </c>
      <c r="CJ724" s="1481"/>
      <c r="CK724" s="1468">
        <f t="shared" si="16"/>
        <v>0</v>
      </c>
      <c r="CL724" s="1470"/>
      <c r="CM724" s="1480">
        <f t="shared" si="17"/>
        <v>0</v>
      </c>
      <c r="CN724" s="1481"/>
      <c r="CO724" s="3"/>
      <c r="CP724" s="1472">
        <f t="shared" si="18"/>
        <v>0</v>
      </c>
      <c r="CQ724" s="1473"/>
      <c r="CR724" s="1473"/>
      <c r="CS724" s="1473"/>
      <c r="CT724" s="1474"/>
      <c r="CU724" s="1455">
        <f t="shared" si="19"/>
        <v>0</v>
      </c>
      <c r="CV724" s="1455"/>
      <c r="CW724" s="1455"/>
      <c r="CX724" s="1455"/>
      <c r="CY724" s="1455"/>
      <c r="CZ724" s="1455">
        <f t="shared" si="20"/>
        <v>19</v>
      </c>
      <c r="DA724" s="1455"/>
      <c r="DB724" s="1455"/>
      <c r="DC724" s="1455"/>
      <c r="DD724" s="1455"/>
      <c r="DE724" s="1455">
        <f t="shared" si="21"/>
        <v>0</v>
      </c>
      <c r="DF724" s="1455"/>
      <c r="DG724" s="1455"/>
      <c r="DH724" s="1455"/>
      <c r="DI724" s="1455"/>
      <c r="DJ724" s="1455">
        <f t="shared" si="22"/>
        <v>0</v>
      </c>
      <c r="DK724" s="1455"/>
      <c r="DL724" s="1455"/>
      <c r="DM724" s="1455"/>
      <c r="DN724" s="1455"/>
      <c r="DO724" s="1455">
        <f t="shared" si="23"/>
        <v>0</v>
      </c>
      <c r="DP724" s="1455"/>
      <c r="DQ724" s="1455"/>
      <c r="DR724" s="1455"/>
      <c r="DS724" s="1455"/>
      <c r="DT724" s="6"/>
      <c r="DU724" s="1456">
        <f t="shared" si="24"/>
        <v>0</v>
      </c>
      <c r="DV724" s="1456"/>
      <c r="DW724" s="1456"/>
      <c r="DX724" s="1456"/>
      <c r="DY724" s="1456"/>
      <c r="DZ724" s="1456">
        <f t="shared" si="25"/>
        <v>0</v>
      </c>
      <c r="EA724" s="1456"/>
      <c r="EB724" s="1456"/>
      <c r="EC724" s="1456"/>
      <c r="ED724" s="1456"/>
      <c r="EE724" s="1456">
        <f t="shared" si="26"/>
        <v>0</v>
      </c>
      <c r="EF724" s="1456"/>
      <c r="EG724" s="1456"/>
      <c r="EH724" s="1456"/>
      <c r="EI724" s="1456"/>
      <c r="EJ724" s="1456">
        <f t="shared" si="27"/>
        <v>0</v>
      </c>
      <c r="EK724" s="1456"/>
      <c r="EL724" s="1456"/>
      <c r="EM724" s="1456"/>
      <c r="EN724" s="1456"/>
      <c r="EO724" s="1456">
        <f t="shared" si="28"/>
        <v>0</v>
      </c>
      <c r="EP724" s="1456"/>
      <c r="EQ724" s="1456"/>
      <c r="ER724" s="1456"/>
      <c r="ES724" s="1456"/>
      <c r="ET724" s="1456">
        <f t="shared" si="29"/>
        <v>0</v>
      </c>
      <c r="EU724" s="1456"/>
      <c r="EV724" s="1456"/>
      <c r="EW724" s="1456"/>
      <c r="EX724" s="1456"/>
      <c r="EZ724" s="1468" t="str">
        <f t="shared" si="30"/>
        <v/>
      </c>
      <c r="FA724" s="1469"/>
      <c r="FB724" s="1469"/>
      <c r="FC724" s="1469"/>
      <c r="FD724" s="1470"/>
      <c r="FE724" s="1468" t="str">
        <f t="shared" si="31"/>
        <v/>
      </c>
      <c r="FF724" s="1469"/>
      <c r="FG724" s="1469"/>
      <c r="FH724" s="1469"/>
      <c r="FI724" s="1470"/>
      <c r="FJ724" s="1468">
        <f t="shared" si="32"/>
        <v>2329</v>
      </c>
      <c r="FK724" s="1469"/>
      <c r="FL724" s="1469"/>
      <c r="FM724" s="1469"/>
      <c r="FN724" s="1470"/>
      <c r="FO724" s="1468" t="str">
        <f t="shared" si="33"/>
        <v/>
      </c>
      <c r="FP724" s="1469"/>
      <c r="FQ724" s="1469"/>
      <c r="FR724" s="1469"/>
      <c r="FS724" s="1470"/>
      <c r="FT724" s="1468" t="str">
        <f t="shared" si="34"/>
        <v/>
      </c>
      <c r="FU724" s="1469"/>
      <c r="FV724" s="1469"/>
      <c r="FW724" s="1469"/>
      <c r="FX724" s="1470"/>
      <c r="FY724" s="1468" t="str">
        <f t="shared" si="35"/>
        <v/>
      </c>
      <c r="FZ724" s="1469"/>
      <c r="GA724" s="1469"/>
      <c r="GB724" s="1469"/>
      <c r="GC724" s="1470"/>
    </row>
    <row r="725" spans="1:185" ht="12.95" customHeight="1">
      <c r="B725" s="1382" t="s">
        <v>164</v>
      </c>
      <c r="C725" s="1383"/>
      <c r="D725" s="1383"/>
      <c r="E725" s="1383"/>
      <c r="F725" s="1384"/>
      <c r="G725" s="1341">
        <v>4</v>
      </c>
      <c r="H725" s="1342"/>
      <c r="I725" s="1342"/>
      <c r="J725" s="1343"/>
      <c r="K725" s="1347">
        <v>1052</v>
      </c>
      <c r="L725" s="1348"/>
      <c r="M725" s="1348"/>
      <c r="N725" s="1349"/>
      <c r="O725" s="1344">
        <v>1901</v>
      </c>
      <c r="P725" s="1345"/>
      <c r="Q725" s="1345"/>
      <c r="R725" s="1345"/>
      <c r="S725" s="1346"/>
      <c r="T725" s="1729">
        <v>68</v>
      </c>
      <c r="U725" s="1345"/>
      <c r="V725" s="1345"/>
      <c r="W725" s="1346"/>
      <c r="X725" s="1496">
        <f t="shared" si="8"/>
        <v>1969</v>
      </c>
      <c r="Y725" s="1433"/>
      <c r="Z725" s="1433"/>
      <c r="AA725" s="1433"/>
      <c r="AB725" s="1497"/>
      <c r="AC725" s="1351">
        <v>0.5</v>
      </c>
      <c r="AD725" s="1352"/>
      <c r="AE725" s="1352"/>
      <c r="AF725" s="1352"/>
      <c r="AG725" s="1353"/>
      <c r="AH725" s="1338">
        <f t="shared" si="36"/>
        <v>0.5</v>
      </c>
      <c r="AI725" s="1339"/>
      <c r="AJ725" s="1340"/>
      <c r="AK725" s="1382" t="s">
        <v>590</v>
      </c>
      <c r="AL725" s="1383"/>
      <c r="AM725" s="1383"/>
      <c r="AN725" s="1383"/>
      <c r="AO725" s="1384"/>
      <c r="AP725" s="3"/>
      <c r="AQ725" s="3"/>
      <c r="AR725" s="3"/>
      <c r="AS725" s="3"/>
      <c r="AY725" s="1085"/>
      <c r="AZ725" s="118">
        <f t="shared" si="9"/>
        <v>3938</v>
      </c>
      <c r="BA725" s="3"/>
      <c r="BB725" s="3"/>
      <c r="BC725" s="3"/>
      <c r="BD725" s="3"/>
      <c r="BE725" s="204"/>
      <c r="BF725" s="294">
        <f t="shared" si="10"/>
        <v>4</v>
      </c>
      <c r="BG725" s="297">
        <f t="shared" si="11"/>
        <v>3.1496062992125984E-2</v>
      </c>
      <c r="BH725" s="298">
        <f t="shared" si="12"/>
        <v>1.5748031496062992E-2</v>
      </c>
      <c r="BI725" s="3"/>
      <c r="BJ725" s="3"/>
      <c r="BK725" s="3"/>
      <c r="BL725" s="3"/>
      <c r="BM725" s="3"/>
      <c r="BN725" s="3"/>
      <c r="BS725" s="294">
        <f t="shared" si="13"/>
        <v>4</v>
      </c>
      <c r="BT725" s="297">
        <f t="shared" si="14"/>
        <v>3.1496062992125984E-2</v>
      </c>
      <c r="BU725" s="298">
        <f t="shared" si="15"/>
        <v>1.5748031496062992E-2</v>
      </c>
      <c r="BV725" s="292"/>
      <c r="BW725" s="3"/>
      <c r="BX725" s="3"/>
      <c r="BY725" s="3"/>
      <c r="BZ725" s="3"/>
      <c r="CA725" s="3"/>
      <c r="CB725" s="3"/>
      <c r="CC725" s="3"/>
      <c r="CE725" s="3"/>
      <c r="CF725" s="3"/>
      <c r="CG725" s="1468">
        <f t="shared" si="37"/>
        <v>1</v>
      </c>
      <c r="CH725" s="1470"/>
      <c r="CI725" s="1480">
        <f t="shared" si="38"/>
        <v>4</v>
      </c>
      <c r="CJ725" s="1481"/>
      <c r="CK725" s="1468">
        <f t="shared" si="16"/>
        <v>0</v>
      </c>
      <c r="CL725" s="1470"/>
      <c r="CM725" s="1480">
        <f t="shared" si="17"/>
        <v>0</v>
      </c>
      <c r="CN725" s="1481"/>
      <c r="CO725" s="3"/>
      <c r="CP725" s="1472">
        <f t="shared" si="18"/>
        <v>0</v>
      </c>
      <c r="CQ725" s="1473"/>
      <c r="CR725" s="1473"/>
      <c r="CS725" s="1473"/>
      <c r="CT725" s="1474"/>
      <c r="CU725" s="1455">
        <f t="shared" si="19"/>
        <v>0</v>
      </c>
      <c r="CV725" s="1455"/>
      <c r="CW725" s="1455"/>
      <c r="CX725" s="1455"/>
      <c r="CY725" s="1455"/>
      <c r="CZ725" s="1455">
        <f t="shared" si="20"/>
        <v>0</v>
      </c>
      <c r="DA725" s="1455"/>
      <c r="DB725" s="1455"/>
      <c r="DC725" s="1455"/>
      <c r="DD725" s="1455"/>
      <c r="DE725" s="1455">
        <f t="shared" si="21"/>
        <v>4</v>
      </c>
      <c r="DF725" s="1455"/>
      <c r="DG725" s="1455"/>
      <c r="DH725" s="1455"/>
      <c r="DI725" s="1455"/>
      <c r="DJ725" s="1455">
        <f t="shared" si="22"/>
        <v>0</v>
      </c>
      <c r="DK725" s="1455"/>
      <c r="DL725" s="1455"/>
      <c r="DM725" s="1455"/>
      <c r="DN725" s="1455"/>
      <c r="DO725" s="1455">
        <f t="shared" si="23"/>
        <v>0</v>
      </c>
      <c r="DP725" s="1455"/>
      <c r="DQ725" s="1455"/>
      <c r="DR725" s="1455"/>
      <c r="DS725" s="1455"/>
      <c r="DT725" s="6"/>
      <c r="DU725" s="1456">
        <f t="shared" si="24"/>
        <v>0</v>
      </c>
      <c r="DV725" s="1456"/>
      <c r="DW725" s="1456"/>
      <c r="DX725" s="1456"/>
      <c r="DY725" s="1456"/>
      <c r="DZ725" s="1456">
        <f t="shared" si="25"/>
        <v>0</v>
      </c>
      <c r="EA725" s="1456"/>
      <c r="EB725" s="1456"/>
      <c r="EC725" s="1456"/>
      <c r="ED725" s="1456"/>
      <c r="EE725" s="1456">
        <f t="shared" si="26"/>
        <v>0</v>
      </c>
      <c r="EF725" s="1456"/>
      <c r="EG725" s="1456"/>
      <c r="EH725" s="1456"/>
      <c r="EI725" s="1456"/>
      <c r="EJ725" s="1456">
        <f t="shared" si="27"/>
        <v>0</v>
      </c>
      <c r="EK725" s="1456"/>
      <c r="EL725" s="1456"/>
      <c r="EM725" s="1456"/>
      <c r="EN725" s="1456"/>
      <c r="EO725" s="1456">
        <f t="shared" si="28"/>
        <v>0</v>
      </c>
      <c r="EP725" s="1456"/>
      <c r="EQ725" s="1456"/>
      <c r="ER725" s="1456"/>
      <c r="ES725" s="1456"/>
      <c r="ET725" s="1456">
        <f t="shared" si="29"/>
        <v>0</v>
      </c>
      <c r="EU725" s="1456"/>
      <c r="EV725" s="1456"/>
      <c r="EW725" s="1456"/>
      <c r="EX725" s="1456"/>
      <c r="EZ725" s="1468" t="str">
        <f t="shared" si="30"/>
        <v/>
      </c>
      <c r="FA725" s="1469"/>
      <c r="FB725" s="1469"/>
      <c r="FC725" s="1469"/>
      <c r="FD725" s="1470"/>
      <c r="FE725" s="1468" t="str">
        <f t="shared" si="31"/>
        <v/>
      </c>
      <c r="FF725" s="1469"/>
      <c r="FG725" s="1469"/>
      <c r="FH725" s="1469"/>
      <c r="FI725" s="1470"/>
      <c r="FJ725" s="1468" t="str">
        <f t="shared" si="32"/>
        <v/>
      </c>
      <c r="FK725" s="1469"/>
      <c r="FL725" s="1469"/>
      <c r="FM725" s="1469"/>
      <c r="FN725" s="1470"/>
      <c r="FO725" s="1468">
        <f t="shared" si="33"/>
        <v>1901</v>
      </c>
      <c r="FP725" s="1469"/>
      <c r="FQ725" s="1469"/>
      <c r="FR725" s="1469"/>
      <c r="FS725" s="1470"/>
      <c r="FT725" s="1468" t="str">
        <f t="shared" si="34"/>
        <v/>
      </c>
      <c r="FU725" s="1469"/>
      <c r="FV725" s="1469"/>
      <c r="FW725" s="1469"/>
      <c r="FX725" s="1470"/>
      <c r="FY725" s="1468" t="str">
        <f t="shared" si="35"/>
        <v/>
      </c>
      <c r="FZ725" s="1469"/>
      <c r="GA725" s="1469"/>
      <c r="GB725" s="1469"/>
      <c r="GC725" s="1470"/>
    </row>
    <row r="726" spans="1:185" ht="12.95" customHeight="1">
      <c r="B726" s="1382" t="s">
        <v>164</v>
      </c>
      <c r="C726" s="1383"/>
      <c r="D726" s="1383"/>
      <c r="E726" s="1383"/>
      <c r="F726" s="1384"/>
      <c r="G726" s="1341">
        <v>33</v>
      </c>
      <c r="H726" s="1342"/>
      <c r="I726" s="1342"/>
      <c r="J726" s="1343"/>
      <c r="K726" s="1347">
        <v>1052</v>
      </c>
      <c r="L726" s="1348"/>
      <c r="M726" s="1348"/>
      <c r="N726" s="1349"/>
      <c r="O726" s="1344">
        <v>2688.6</v>
      </c>
      <c r="P726" s="1345"/>
      <c r="Q726" s="1345"/>
      <c r="R726" s="1345"/>
      <c r="S726" s="1346"/>
      <c r="T726" s="1344">
        <v>68</v>
      </c>
      <c r="U726" s="1345"/>
      <c r="V726" s="1345"/>
      <c r="W726" s="1346"/>
      <c r="X726" s="1496">
        <f t="shared" si="8"/>
        <v>2756.6</v>
      </c>
      <c r="Y726" s="1433"/>
      <c r="Z726" s="1433"/>
      <c r="AA726" s="1433"/>
      <c r="AB726" s="1497"/>
      <c r="AC726" s="1351">
        <v>0.7</v>
      </c>
      <c r="AD726" s="1352"/>
      <c r="AE726" s="1352"/>
      <c r="AF726" s="1352"/>
      <c r="AG726" s="1353"/>
      <c r="AH726" s="1338">
        <f t="shared" si="36"/>
        <v>0.7</v>
      </c>
      <c r="AI726" s="1339"/>
      <c r="AJ726" s="1340"/>
      <c r="AK726" s="1382" t="s">
        <v>590</v>
      </c>
      <c r="AL726" s="1383"/>
      <c r="AM726" s="1383"/>
      <c r="AN726" s="1383"/>
      <c r="AO726" s="1384"/>
      <c r="AP726" s="3"/>
      <c r="AQ726" s="3"/>
      <c r="AR726" s="3"/>
      <c r="AS726" s="3"/>
      <c r="AY726" s="1085"/>
      <c r="AZ726" s="118">
        <f t="shared" si="9"/>
        <v>3938</v>
      </c>
      <c r="BA726" s="3"/>
      <c r="BB726" s="3"/>
      <c r="BC726" s="3"/>
      <c r="BD726" s="3"/>
      <c r="BE726" s="204"/>
      <c r="BF726" s="294">
        <f t="shared" si="10"/>
        <v>33</v>
      </c>
      <c r="BG726" s="297">
        <f t="shared" si="11"/>
        <v>0.25984251968503935</v>
      </c>
      <c r="BH726" s="298">
        <f t="shared" si="12"/>
        <v>0.18188976377952754</v>
      </c>
      <c r="BI726" s="3"/>
      <c r="BJ726" s="3"/>
      <c r="BK726" s="3"/>
      <c r="BL726" s="3"/>
      <c r="BM726" s="3"/>
      <c r="BN726" s="3"/>
      <c r="BS726" s="294">
        <f t="shared" si="13"/>
        <v>33</v>
      </c>
      <c r="BT726" s="297">
        <f t="shared" si="14"/>
        <v>0.25984251968503935</v>
      </c>
      <c r="BU726" s="298">
        <f t="shared" si="15"/>
        <v>0.18188976377952754</v>
      </c>
      <c r="BV726" s="3"/>
      <c r="BW726" s="3"/>
      <c r="BX726" s="3"/>
      <c r="BY726" s="3"/>
      <c r="BZ726" s="3"/>
      <c r="CA726" s="3"/>
      <c r="CB726" s="3"/>
      <c r="CC726" s="3"/>
      <c r="CE726" s="3"/>
      <c r="CF726" s="3"/>
      <c r="CG726" s="1468">
        <f t="shared" si="37"/>
        <v>0</v>
      </c>
      <c r="CH726" s="1470"/>
      <c r="CI726" s="1480">
        <f t="shared" si="38"/>
        <v>0</v>
      </c>
      <c r="CJ726" s="1481"/>
      <c r="CK726" s="1468">
        <f t="shared" si="16"/>
        <v>0</v>
      </c>
      <c r="CL726" s="1470"/>
      <c r="CM726" s="1480">
        <f t="shared" si="17"/>
        <v>0</v>
      </c>
      <c r="CN726" s="1481"/>
      <c r="CO726" s="3"/>
      <c r="CP726" s="1472">
        <f t="shared" si="18"/>
        <v>0</v>
      </c>
      <c r="CQ726" s="1473"/>
      <c r="CR726" s="1473"/>
      <c r="CS726" s="1473"/>
      <c r="CT726" s="1474"/>
      <c r="CU726" s="1455">
        <f t="shared" si="19"/>
        <v>0</v>
      </c>
      <c r="CV726" s="1455"/>
      <c r="CW726" s="1455"/>
      <c r="CX726" s="1455"/>
      <c r="CY726" s="1455"/>
      <c r="CZ726" s="1455">
        <f t="shared" si="20"/>
        <v>0</v>
      </c>
      <c r="DA726" s="1455"/>
      <c r="DB726" s="1455"/>
      <c r="DC726" s="1455"/>
      <c r="DD726" s="1455"/>
      <c r="DE726" s="1455">
        <f t="shared" si="21"/>
        <v>33</v>
      </c>
      <c r="DF726" s="1455"/>
      <c r="DG726" s="1455"/>
      <c r="DH726" s="1455"/>
      <c r="DI726" s="1455"/>
      <c r="DJ726" s="1455">
        <f t="shared" si="22"/>
        <v>0</v>
      </c>
      <c r="DK726" s="1455"/>
      <c r="DL726" s="1455"/>
      <c r="DM726" s="1455"/>
      <c r="DN726" s="1455"/>
      <c r="DO726" s="1455">
        <f t="shared" si="23"/>
        <v>0</v>
      </c>
      <c r="DP726" s="1455"/>
      <c r="DQ726" s="1455"/>
      <c r="DR726" s="1455"/>
      <c r="DS726" s="1455"/>
      <c r="DT726" s="6"/>
      <c r="DU726" s="1456">
        <f t="shared" si="24"/>
        <v>0</v>
      </c>
      <c r="DV726" s="1456"/>
      <c r="DW726" s="1456"/>
      <c r="DX726" s="1456"/>
      <c r="DY726" s="1456"/>
      <c r="DZ726" s="1456">
        <f t="shared" si="25"/>
        <v>0</v>
      </c>
      <c r="EA726" s="1456"/>
      <c r="EB726" s="1456"/>
      <c r="EC726" s="1456"/>
      <c r="ED726" s="1456"/>
      <c r="EE726" s="1456">
        <f t="shared" si="26"/>
        <v>0</v>
      </c>
      <c r="EF726" s="1456"/>
      <c r="EG726" s="1456"/>
      <c r="EH726" s="1456"/>
      <c r="EI726" s="1456"/>
      <c r="EJ726" s="1456">
        <f t="shared" si="27"/>
        <v>0</v>
      </c>
      <c r="EK726" s="1456"/>
      <c r="EL726" s="1456"/>
      <c r="EM726" s="1456"/>
      <c r="EN726" s="1456"/>
      <c r="EO726" s="1456">
        <f t="shared" si="28"/>
        <v>0</v>
      </c>
      <c r="EP726" s="1456"/>
      <c r="EQ726" s="1456"/>
      <c r="ER726" s="1456"/>
      <c r="ES726" s="1456"/>
      <c r="ET726" s="1456">
        <f t="shared" si="29"/>
        <v>0</v>
      </c>
      <c r="EU726" s="1456"/>
      <c r="EV726" s="1456"/>
      <c r="EW726" s="1456"/>
      <c r="EX726" s="1456"/>
      <c r="EY726" s="4"/>
      <c r="EZ726" s="1468" t="str">
        <f t="shared" si="30"/>
        <v/>
      </c>
      <c r="FA726" s="1469"/>
      <c r="FB726" s="1469"/>
      <c r="FC726" s="1469"/>
      <c r="FD726" s="1470"/>
      <c r="FE726" s="1468" t="str">
        <f t="shared" si="31"/>
        <v/>
      </c>
      <c r="FF726" s="1469"/>
      <c r="FG726" s="1469"/>
      <c r="FH726" s="1469"/>
      <c r="FI726" s="1470"/>
      <c r="FJ726" s="1468" t="str">
        <f t="shared" si="32"/>
        <v/>
      </c>
      <c r="FK726" s="1469"/>
      <c r="FL726" s="1469"/>
      <c r="FM726" s="1469"/>
      <c r="FN726" s="1470"/>
      <c r="FO726" s="1468">
        <f t="shared" si="33"/>
        <v>2688.6</v>
      </c>
      <c r="FP726" s="1469"/>
      <c r="FQ726" s="1469"/>
      <c r="FR726" s="1469"/>
      <c r="FS726" s="1470"/>
      <c r="FT726" s="1468" t="str">
        <f t="shared" si="34"/>
        <v/>
      </c>
      <c r="FU726" s="1469"/>
      <c r="FV726" s="1469"/>
      <c r="FW726" s="1469"/>
      <c r="FX726" s="1470"/>
      <c r="FY726" s="1468" t="str">
        <f t="shared" si="35"/>
        <v/>
      </c>
      <c r="FZ726" s="1469"/>
      <c r="GA726" s="1469"/>
      <c r="GB726" s="1469"/>
      <c r="GC726" s="1470"/>
    </row>
    <row r="727" spans="1:185" ht="12.95" customHeight="1">
      <c r="A727" s="4"/>
      <c r="B727" s="1382"/>
      <c r="C727" s="1383"/>
      <c r="D727" s="1383"/>
      <c r="E727" s="1383"/>
      <c r="F727" s="1384"/>
      <c r="G727" s="1341"/>
      <c r="H727" s="1342"/>
      <c r="I727" s="1342"/>
      <c r="J727" s="1343"/>
      <c r="K727" s="1347"/>
      <c r="L727" s="1348"/>
      <c r="M727" s="1348"/>
      <c r="N727" s="1349"/>
      <c r="O727" s="1344"/>
      <c r="P727" s="1345"/>
      <c r="Q727" s="1345"/>
      <c r="R727" s="1345"/>
      <c r="S727" s="1346"/>
      <c r="T727" s="1344"/>
      <c r="U727" s="1345"/>
      <c r="V727" s="1345"/>
      <c r="W727" s="1346"/>
      <c r="X727" s="1496">
        <f t="shared" si="8"/>
        <v>0</v>
      </c>
      <c r="Y727" s="1433"/>
      <c r="Z727" s="1433"/>
      <c r="AA727" s="1433"/>
      <c r="AB727" s="1497"/>
      <c r="AC727" s="1351"/>
      <c r="AD727" s="1352"/>
      <c r="AE727" s="1352"/>
      <c r="AF727" s="1352"/>
      <c r="AG727" s="1353"/>
      <c r="AH727" s="1338" t="str">
        <f t="shared" si="36"/>
        <v/>
      </c>
      <c r="AI727" s="1339"/>
      <c r="AJ727" s="1340"/>
      <c r="AK727" s="1382" t="s">
        <v>590</v>
      </c>
      <c r="AL727" s="1383"/>
      <c r="AM727" s="1383"/>
      <c r="AN727" s="1383"/>
      <c r="AO727" s="1384"/>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8">
        <f t="shared" si="37"/>
        <v>0</v>
      </c>
      <c r="CH727" s="1470"/>
      <c r="CI727" s="1480">
        <f t="shared" si="38"/>
        <v>0</v>
      </c>
      <c r="CJ727" s="1481"/>
      <c r="CK727" s="1468">
        <f t="shared" si="16"/>
        <v>0</v>
      </c>
      <c r="CL727" s="1470"/>
      <c r="CM727" s="1480">
        <f t="shared" si="17"/>
        <v>0</v>
      </c>
      <c r="CN727" s="1481"/>
      <c r="CO727" s="3"/>
      <c r="CP727" s="1472">
        <f t="shared" si="18"/>
        <v>0</v>
      </c>
      <c r="CQ727" s="1473"/>
      <c r="CR727" s="1473"/>
      <c r="CS727" s="1473"/>
      <c r="CT727" s="1474"/>
      <c r="CU727" s="1455">
        <f t="shared" si="19"/>
        <v>0</v>
      </c>
      <c r="CV727" s="1455"/>
      <c r="CW727" s="1455"/>
      <c r="CX727" s="1455"/>
      <c r="CY727" s="1455"/>
      <c r="CZ727" s="1455">
        <f t="shared" si="20"/>
        <v>0</v>
      </c>
      <c r="DA727" s="1455"/>
      <c r="DB727" s="1455"/>
      <c r="DC727" s="1455"/>
      <c r="DD727" s="1455"/>
      <c r="DE727" s="1455">
        <f t="shared" si="21"/>
        <v>0</v>
      </c>
      <c r="DF727" s="1455"/>
      <c r="DG727" s="1455"/>
      <c r="DH727" s="1455"/>
      <c r="DI727" s="1455"/>
      <c r="DJ727" s="1455">
        <f t="shared" si="22"/>
        <v>0</v>
      </c>
      <c r="DK727" s="1455"/>
      <c r="DL727" s="1455"/>
      <c r="DM727" s="1455"/>
      <c r="DN727" s="1455"/>
      <c r="DO727" s="1455">
        <f t="shared" si="23"/>
        <v>0</v>
      </c>
      <c r="DP727" s="1455"/>
      <c r="DQ727" s="1455"/>
      <c r="DR727" s="1455"/>
      <c r="DS727" s="1455"/>
      <c r="DT727" s="6"/>
      <c r="DU727" s="1456">
        <f t="shared" si="24"/>
        <v>0</v>
      </c>
      <c r="DV727" s="1456"/>
      <c r="DW727" s="1456"/>
      <c r="DX727" s="1456"/>
      <c r="DY727" s="1456"/>
      <c r="DZ727" s="1456">
        <f t="shared" si="25"/>
        <v>0</v>
      </c>
      <c r="EA727" s="1456"/>
      <c r="EB727" s="1456"/>
      <c r="EC727" s="1456"/>
      <c r="ED727" s="1456"/>
      <c r="EE727" s="1456">
        <f t="shared" si="26"/>
        <v>0</v>
      </c>
      <c r="EF727" s="1456"/>
      <c r="EG727" s="1456"/>
      <c r="EH727" s="1456"/>
      <c r="EI727" s="1456"/>
      <c r="EJ727" s="1456">
        <f t="shared" si="27"/>
        <v>0</v>
      </c>
      <c r="EK727" s="1456"/>
      <c r="EL727" s="1456"/>
      <c r="EM727" s="1456"/>
      <c r="EN727" s="1456"/>
      <c r="EO727" s="1456">
        <f t="shared" si="28"/>
        <v>0</v>
      </c>
      <c r="EP727" s="1456"/>
      <c r="EQ727" s="1456"/>
      <c r="ER727" s="1456"/>
      <c r="ES727" s="1456"/>
      <c r="ET727" s="1456">
        <f t="shared" si="29"/>
        <v>0</v>
      </c>
      <c r="EU727" s="1456"/>
      <c r="EV727" s="1456"/>
      <c r="EW727" s="1456"/>
      <c r="EX727" s="1456"/>
      <c r="EY727" s="4"/>
      <c r="EZ727" s="1468" t="str">
        <f t="shared" si="30"/>
        <v/>
      </c>
      <c r="FA727" s="1469"/>
      <c r="FB727" s="1469"/>
      <c r="FC727" s="1469"/>
      <c r="FD727" s="1470"/>
      <c r="FE727" s="1468" t="str">
        <f t="shared" si="31"/>
        <v/>
      </c>
      <c r="FF727" s="1469"/>
      <c r="FG727" s="1469"/>
      <c r="FH727" s="1469"/>
      <c r="FI727" s="1470"/>
      <c r="FJ727" s="1468" t="str">
        <f t="shared" si="32"/>
        <v/>
      </c>
      <c r="FK727" s="1469"/>
      <c r="FL727" s="1469"/>
      <c r="FM727" s="1469"/>
      <c r="FN727" s="1470"/>
      <c r="FO727" s="1468" t="str">
        <f t="shared" si="33"/>
        <v/>
      </c>
      <c r="FP727" s="1469"/>
      <c r="FQ727" s="1469"/>
      <c r="FR727" s="1469"/>
      <c r="FS727" s="1470"/>
      <c r="FT727" s="1468" t="str">
        <f t="shared" si="34"/>
        <v/>
      </c>
      <c r="FU727" s="1469"/>
      <c r="FV727" s="1469"/>
      <c r="FW727" s="1469"/>
      <c r="FX727" s="1470"/>
      <c r="FY727" s="1468" t="str">
        <f t="shared" si="35"/>
        <v/>
      </c>
      <c r="FZ727" s="1469"/>
      <c r="GA727" s="1469"/>
      <c r="GB727" s="1469"/>
      <c r="GC727" s="1470"/>
    </row>
    <row r="728" spans="1:185" ht="12.95" customHeight="1">
      <c r="A728" s="4"/>
      <c r="B728" s="1382"/>
      <c r="C728" s="1383"/>
      <c r="D728" s="1383"/>
      <c r="E728" s="1383"/>
      <c r="F728" s="1384"/>
      <c r="G728" s="1341"/>
      <c r="H728" s="1342"/>
      <c r="I728" s="1342"/>
      <c r="J728" s="1343"/>
      <c r="K728" s="1347"/>
      <c r="L728" s="1348"/>
      <c r="M728" s="1348"/>
      <c r="N728" s="1349"/>
      <c r="O728" s="1344"/>
      <c r="P728" s="1345"/>
      <c r="Q728" s="1345"/>
      <c r="R728" s="1345"/>
      <c r="S728" s="1346"/>
      <c r="T728" s="1344"/>
      <c r="U728" s="1345"/>
      <c r="V728" s="1345"/>
      <c r="W728" s="1346"/>
      <c r="X728" s="1496">
        <f t="shared" si="8"/>
        <v>0</v>
      </c>
      <c r="Y728" s="1433"/>
      <c r="Z728" s="1433"/>
      <c r="AA728" s="1433"/>
      <c r="AB728" s="1497"/>
      <c r="AC728" s="1351"/>
      <c r="AD728" s="1352"/>
      <c r="AE728" s="1352"/>
      <c r="AF728" s="1352"/>
      <c r="AG728" s="1353"/>
      <c r="AH728" s="1338" t="str">
        <f t="shared" si="36"/>
        <v/>
      </c>
      <c r="AI728" s="1339"/>
      <c r="AJ728" s="1340"/>
      <c r="AK728" s="1382" t="s">
        <v>590</v>
      </c>
      <c r="AL728" s="1383"/>
      <c r="AM728" s="1383"/>
      <c r="AN728" s="1383"/>
      <c r="AO728" s="1384"/>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8">
        <f t="shared" si="37"/>
        <v>0</v>
      </c>
      <c r="CH728" s="1470"/>
      <c r="CI728" s="1480">
        <f t="shared" si="38"/>
        <v>0</v>
      </c>
      <c r="CJ728" s="1481"/>
      <c r="CK728" s="1468">
        <f t="shared" si="16"/>
        <v>0</v>
      </c>
      <c r="CL728" s="1470"/>
      <c r="CM728" s="1480">
        <f t="shared" si="17"/>
        <v>0</v>
      </c>
      <c r="CN728" s="1481"/>
      <c r="CO728" s="3"/>
      <c r="CP728" s="1472">
        <f t="shared" si="18"/>
        <v>0</v>
      </c>
      <c r="CQ728" s="1473"/>
      <c r="CR728" s="1473"/>
      <c r="CS728" s="1473"/>
      <c r="CT728" s="1474"/>
      <c r="CU728" s="1455">
        <f t="shared" si="19"/>
        <v>0</v>
      </c>
      <c r="CV728" s="1455"/>
      <c r="CW728" s="1455"/>
      <c r="CX728" s="1455"/>
      <c r="CY728" s="1455"/>
      <c r="CZ728" s="1455">
        <f t="shared" si="20"/>
        <v>0</v>
      </c>
      <c r="DA728" s="1455"/>
      <c r="DB728" s="1455"/>
      <c r="DC728" s="1455"/>
      <c r="DD728" s="1455"/>
      <c r="DE728" s="1455">
        <f t="shared" si="21"/>
        <v>0</v>
      </c>
      <c r="DF728" s="1455"/>
      <c r="DG728" s="1455"/>
      <c r="DH728" s="1455"/>
      <c r="DI728" s="1455"/>
      <c r="DJ728" s="1455">
        <f t="shared" si="22"/>
        <v>0</v>
      </c>
      <c r="DK728" s="1455"/>
      <c r="DL728" s="1455"/>
      <c r="DM728" s="1455"/>
      <c r="DN728" s="1455"/>
      <c r="DO728" s="1455">
        <f t="shared" si="23"/>
        <v>0</v>
      </c>
      <c r="DP728" s="1455"/>
      <c r="DQ728" s="1455"/>
      <c r="DR728" s="1455"/>
      <c r="DS728" s="1455"/>
      <c r="DT728" s="6"/>
      <c r="DU728" s="1456">
        <f t="shared" si="24"/>
        <v>0</v>
      </c>
      <c r="DV728" s="1456"/>
      <c r="DW728" s="1456"/>
      <c r="DX728" s="1456"/>
      <c r="DY728" s="1456"/>
      <c r="DZ728" s="1456">
        <f t="shared" si="25"/>
        <v>0</v>
      </c>
      <c r="EA728" s="1456"/>
      <c r="EB728" s="1456"/>
      <c r="EC728" s="1456"/>
      <c r="ED728" s="1456"/>
      <c r="EE728" s="1456">
        <f t="shared" si="26"/>
        <v>0</v>
      </c>
      <c r="EF728" s="1456"/>
      <c r="EG728" s="1456"/>
      <c r="EH728" s="1456"/>
      <c r="EI728" s="1456"/>
      <c r="EJ728" s="1456">
        <f t="shared" si="27"/>
        <v>0</v>
      </c>
      <c r="EK728" s="1456"/>
      <c r="EL728" s="1456"/>
      <c r="EM728" s="1456"/>
      <c r="EN728" s="1456"/>
      <c r="EO728" s="1456">
        <f t="shared" si="28"/>
        <v>0</v>
      </c>
      <c r="EP728" s="1456"/>
      <c r="EQ728" s="1456"/>
      <c r="ER728" s="1456"/>
      <c r="ES728" s="1456"/>
      <c r="ET728" s="1456">
        <f t="shared" si="29"/>
        <v>0</v>
      </c>
      <c r="EU728" s="1456"/>
      <c r="EV728" s="1456"/>
      <c r="EW728" s="1456"/>
      <c r="EX728" s="1456"/>
      <c r="EY728" s="4"/>
      <c r="EZ728" s="1468" t="str">
        <f t="shared" si="30"/>
        <v/>
      </c>
      <c r="FA728" s="1469"/>
      <c r="FB728" s="1469"/>
      <c r="FC728" s="1469"/>
      <c r="FD728" s="1470"/>
      <c r="FE728" s="1468" t="str">
        <f t="shared" si="31"/>
        <v/>
      </c>
      <c r="FF728" s="1469"/>
      <c r="FG728" s="1469"/>
      <c r="FH728" s="1469"/>
      <c r="FI728" s="1470"/>
      <c r="FJ728" s="1468" t="str">
        <f t="shared" si="32"/>
        <v/>
      </c>
      <c r="FK728" s="1469"/>
      <c r="FL728" s="1469"/>
      <c r="FM728" s="1469"/>
      <c r="FN728" s="1470"/>
      <c r="FO728" s="1468" t="str">
        <f t="shared" si="33"/>
        <v/>
      </c>
      <c r="FP728" s="1469"/>
      <c r="FQ728" s="1469"/>
      <c r="FR728" s="1469"/>
      <c r="FS728" s="1470"/>
      <c r="FT728" s="1468" t="str">
        <f t="shared" si="34"/>
        <v/>
      </c>
      <c r="FU728" s="1469"/>
      <c r="FV728" s="1469"/>
      <c r="FW728" s="1469"/>
      <c r="FX728" s="1470"/>
      <c r="FY728" s="1468" t="str">
        <f t="shared" si="35"/>
        <v/>
      </c>
      <c r="FZ728" s="1469"/>
      <c r="GA728" s="1469"/>
      <c r="GB728" s="1469"/>
      <c r="GC728" s="1470"/>
    </row>
    <row r="729" spans="1:185" ht="12.95" customHeight="1">
      <c r="A729" s="4"/>
      <c r="B729" s="1382"/>
      <c r="C729" s="1383"/>
      <c r="D729" s="1383"/>
      <c r="E729" s="1383"/>
      <c r="F729" s="1384"/>
      <c r="G729" s="1341"/>
      <c r="H729" s="1342"/>
      <c r="I729" s="1342"/>
      <c r="J729" s="1343"/>
      <c r="K729" s="1347"/>
      <c r="L729" s="1348"/>
      <c r="M729" s="1348"/>
      <c r="N729" s="1349"/>
      <c r="O729" s="1344"/>
      <c r="P729" s="1345"/>
      <c r="Q729" s="1345"/>
      <c r="R729" s="1345"/>
      <c r="S729" s="1346"/>
      <c r="T729" s="1344"/>
      <c r="U729" s="1345"/>
      <c r="V729" s="1345"/>
      <c r="W729" s="1346"/>
      <c r="X729" s="1496">
        <f t="shared" si="8"/>
        <v>0</v>
      </c>
      <c r="Y729" s="1433"/>
      <c r="Z729" s="1433"/>
      <c r="AA729" s="1433"/>
      <c r="AB729" s="1497"/>
      <c r="AC729" s="1351"/>
      <c r="AD729" s="1352"/>
      <c r="AE729" s="1352"/>
      <c r="AF729" s="1352"/>
      <c r="AG729" s="1353"/>
      <c r="AH729" s="1338" t="str">
        <f t="shared" si="36"/>
        <v/>
      </c>
      <c r="AI729" s="1339"/>
      <c r="AJ729" s="1340"/>
      <c r="AK729" s="1382" t="s">
        <v>590</v>
      </c>
      <c r="AL729" s="1383"/>
      <c r="AM729" s="1383"/>
      <c r="AN729" s="1383"/>
      <c r="AO729" s="1384"/>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8">
        <f t="shared" si="37"/>
        <v>0</v>
      </c>
      <c r="CH729" s="1470"/>
      <c r="CI729" s="1480">
        <f t="shared" si="38"/>
        <v>0</v>
      </c>
      <c r="CJ729" s="1481"/>
      <c r="CK729" s="1468">
        <f t="shared" si="16"/>
        <v>0</v>
      </c>
      <c r="CL729" s="1470"/>
      <c r="CM729" s="1480">
        <f t="shared" si="17"/>
        <v>0</v>
      </c>
      <c r="CN729" s="1481"/>
      <c r="CO729" s="3"/>
      <c r="CP729" s="1472">
        <f t="shared" si="18"/>
        <v>0</v>
      </c>
      <c r="CQ729" s="1473"/>
      <c r="CR729" s="1473"/>
      <c r="CS729" s="1473"/>
      <c r="CT729" s="1474"/>
      <c r="CU729" s="1455">
        <f t="shared" si="19"/>
        <v>0</v>
      </c>
      <c r="CV729" s="1455"/>
      <c r="CW729" s="1455"/>
      <c r="CX729" s="1455"/>
      <c r="CY729" s="1455"/>
      <c r="CZ729" s="1455">
        <f t="shared" si="20"/>
        <v>0</v>
      </c>
      <c r="DA729" s="1455"/>
      <c r="DB729" s="1455"/>
      <c r="DC729" s="1455"/>
      <c r="DD729" s="1455"/>
      <c r="DE729" s="1455">
        <f t="shared" si="21"/>
        <v>0</v>
      </c>
      <c r="DF729" s="1455"/>
      <c r="DG729" s="1455"/>
      <c r="DH729" s="1455"/>
      <c r="DI729" s="1455"/>
      <c r="DJ729" s="1455">
        <f t="shared" si="22"/>
        <v>0</v>
      </c>
      <c r="DK729" s="1455"/>
      <c r="DL729" s="1455"/>
      <c r="DM729" s="1455"/>
      <c r="DN729" s="1455"/>
      <c r="DO729" s="1455">
        <f t="shared" si="23"/>
        <v>0</v>
      </c>
      <c r="DP729" s="1455"/>
      <c r="DQ729" s="1455"/>
      <c r="DR729" s="1455"/>
      <c r="DS729" s="1455"/>
      <c r="DT729" s="6"/>
      <c r="DU729" s="1456">
        <f t="shared" si="24"/>
        <v>0</v>
      </c>
      <c r="DV729" s="1456"/>
      <c r="DW729" s="1456"/>
      <c r="DX729" s="1456"/>
      <c r="DY729" s="1456"/>
      <c r="DZ729" s="1456">
        <f t="shared" si="25"/>
        <v>0</v>
      </c>
      <c r="EA729" s="1456"/>
      <c r="EB729" s="1456"/>
      <c r="EC729" s="1456"/>
      <c r="ED729" s="1456"/>
      <c r="EE729" s="1456">
        <f t="shared" si="26"/>
        <v>0</v>
      </c>
      <c r="EF729" s="1456"/>
      <c r="EG729" s="1456"/>
      <c r="EH729" s="1456"/>
      <c r="EI729" s="1456"/>
      <c r="EJ729" s="1456">
        <f t="shared" si="27"/>
        <v>0</v>
      </c>
      <c r="EK729" s="1456"/>
      <c r="EL729" s="1456"/>
      <c r="EM729" s="1456"/>
      <c r="EN729" s="1456"/>
      <c r="EO729" s="1456">
        <f t="shared" si="28"/>
        <v>0</v>
      </c>
      <c r="EP729" s="1456"/>
      <c r="EQ729" s="1456"/>
      <c r="ER729" s="1456"/>
      <c r="ES729" s="1456"/>
      <c r="ET729" s="1456">
        <f t="shared" si="29"/>
        <v>0</v>
      </c>
      <c r="EU729" s="1456"/>
      <c r="EV729" s="1456"/>
      <c r="EW729" s="1456"/>
      <c r="EX729" s="1456"/>
      <c r="EZ729" s="1468" t="str">
        <f t="shared" si="30"/>
        <v/>
      </c>
      <c r="FA729" s="1469"/>
      <c r="FB729" s="1469"/>
      <c r="FC729" s="1469"/>
      <c r="FD729" s="1470"/>
      <c r="FE729" s="1468" t="str">
        <f t="shared" si="31"/>
        <v/>
      </c>
      <c r="FF729" s="1469"/>
      <c r="FG729" s="1469"/>
      <c r="FH729" s="1469"/>
      <c r="FI729" s="1470"/>
      <c r="FJ729" s="1468" t="str">
        <f t="shared" si="32"/>
        <v/>
      </c>
      <c r="FK729" s="1469"/>
      <c r="FL729" s="1469"/>
      <c r="FM729" s="1469"/>
      <c r="FN729" s="1470"/>
      <c r="FO729" s="1468" t="str">
        <f t="shared" si="33"/>
        <v/>
      </c>
      <c r="FP729" s="1469"/>
      <c r="FQ729" s="1469"/>
      <c r="FR729" s="1469"/>
      <c r="FS729" s="1470"/>
      <c r="FT729" s="1468" t="str">
        <f t="shared" si="34"/>
        <v/>
      </c>
      <c r="FU729" s="1469"/>
      <c r="FV729" s="1469"/>
      <c r="FW729" s="1469"/>
      <c r="FX729" s="1470"/>
      <c r="FY729" s="1468" t="str">
        <f t="shared" si="35"/>
        <v/>
      </c>
      <c r="FZ729" s="1469"/>
      <c r="GA729" s="1469"/>
      <c r="GB729" s="1469"/>
      <c r="GC729" s="1470"/>
    </row>
    <row r="730" spans="1:185" ht="12.95" customHeight="1">
      <c r="B730" s="1382"/>
      <c r="C730" s="1383"/>
      <c r="D730" s="1383"/>
      <c r="E730" s="1383"/>
      <c r="F730" s="1384"/>
      <c r="G730" s="1341"/>
      <c r="H730" s="1342"/>
      <c r="I730" s="1342"/>
      <c r="J730" s="1343"/>
      <c r="K730" s="1347"/>
      <c r="L730" s="1348"/>
      <c r="M730" s="1348"/>
      <c r="N730" s="1349"/>
      <c r="O730" s="1344"/>
      <c r="P730" s="1345"/>
      <c r="Q730" s="1345"/>
      <c r="R730" s="1345"/>
      <c r="S730" s="1346"/>
      <c r="T730" s="1344"/>
      <c r="U730" s="1345"/>
      <c r="V730" s="1345"/>
      <c r="W730" s="1346"/>
      <c r="X730" s="1496">
        <f t="shared" si="8"/>
        <v>0</v>
      </c>
      <c r="Y730" s="1433"/>
      <c r="Z730" s="1433"/>
      <c r="AA730" s="1433"/>
      <c r="AB730" s="1497"/>
      <c r="AC730" s="1351"/>
      <c r="AD730" s="1352"/>
      <c r="AE730" s="1352"/>
      <c r="AF730" s="1352"/>
      <c r="AG730" s="1353"/>
      <c r="AH730" s="1338" t="str">
        <f t="shared" si="36"/>
        <v/>
      </c>
      <c r="AI730" s="1339"/>
      <c r="AJ730" s="1340"/>
      <c r="AK730" s="1382" t="s">
        <v>590</v>
      </c>
      <c r="AL730" s="1383"/>
      <c r="AM730" s="1383"/>
      <c r="AN730" s="1383"/>
      <c r="AO730" s="1384"/>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8">
        <f t="shared" si="37"/>
        <v>0</v>
      </c>
      <c r="CH730" s="1470"/>
      <c r="CI730" s="1480">
        <f t="shared" si="38"/>
        <v>0</v>
      </c>
      <c r="CJ730" s="1481"/>
      <c r="CK730" s="1468">
        <f t="shared" si="16"/>
        <v>0</v>
      </c>
      <c r="CL730" s="1470"/>
      <c r="CM730" s="1480">
        <f t="shared" si="17"/>
        <v>0</v>
      </c>
      <c r="CN730" s="1481"/>
      <c r="CO730" s="3"/>
      <c r="CP730" s="1472">
        <f t="shared" si="18"/>
        <v>0</v>
      </c>
      <c r="CQ730" s="1473"/>
      <c r="CR730" s="1473"/>
      <c r="CS730" s="1473"/>
      <c r="CT730" s="1474"/>
      <c r="CU730" s="1455">
        <f t="shared" si="19"/>
        <v>0</v>
      </c>
      <c r="CV730" s="1455"/>
      <c r="CW730" s="1455"/>
      <c r="CX730" s="1455"/>
      <c r="CY730" s="1455"/>
      <c r="CZ730" s="1455">
        <f t="shared" si="20"/>
        <v>0</v>
      </c>
      <c r="DA730" s="1455"/>
      <c r="DB730" s="1455"/>
      <c r="DC730" s="1455"/>
      <c r="DD730" s="1455"/>
      <c r="DE730" s="1455">
        <f t="shared" si="21"/>
        <v>0</v>
      </c>
      <c r="DF730" s="1455"/>
      <c r="DG730" s="1455"/>
      <c r="DH730" s="1455"/>
      <c r="DI730" s="1455"/>
      <c r="DJ730" s="1455">
        <f t="shared" si="22"/>
        <v>0</v>
      </c>
      <c r="DK730" s="1455"/>
      <c r="DL730" s="1455"/>
      <c r="DM730" s="1455"/>
      <c r="DN730" s="1455"/>
      <c r="DO730" s="1455">
        <f t="shared" si="23"/>
        <v>0</v>
      </c>
      <c r="DP730" s="1455"/>
      <c r="DQ730" s="1455"/>
      <c r="DR730" s="1455"/>
      <c r="DS730" s="1455"/>
      <c r="DT730" s="6"/>
      <c r="DU730" s="1456">
        <f t="shared" si="24"/>
        <v>0</v>
      </c>
      <c r="DV730" s="1456"/>
      <c r="DW730" s="1456"/>
      <c r="DX730" s="1456"/>
      <c r="DY730" s="1456"/>
      <c r="DZ730" s="1456">
        <f t="shared" si="25"/>
        <v>0</v>
      </c>
      <c r="EA730" s="1456"/>
      <c r="EB730" s="1456"/>
      <c r="EC730" s="1456"/>
      <c r="ED730" s="1456"/>
      <c r="EE730" s="1456">
        <f t="shared" si="26"/>
        <v>0</v>
      </c>
      <c r="EF730" s="1456"/>
      <c r="EG730" s="1456"/>
      <c r="EH730" s="1456"/>
      <c r="EI730" s="1456"/>
      <c r="EJ730" s="1456">
        <f t="shared" si="27"/>
        <v>0</v>
      </c>
      <c r="EK730" s="1456"/>
      <c r="EL730" s="1456"/>
      <c r="EM730" s="1456"/>
      <c r="EN730" s="1456"/>
      <c r="EO730" s="1456">
        <f t="shared" si="28"/>
        <v>0</v>
      </c>
      <c r="EP730" s="1456"/>
      <c r="EQ730" s="1456"/>
      <c r="ER730" s="1456"/>
      <c r="ES730" s="1456"/>
      <c r="ET730" s="1456">
        <f t="shared" si="29"/>
        <v>0</v>
      </c>
      <c r="EU730" s="1456"/>
      <c r="EV730" s="1456"/>
      <c r="EW730" s="1456"/>
      <c r="EX730" s="1456"/>
      <c r="EZ730" s="1468" t="str">
        <f t="shared" si="30"/>
        <v/>
      </c>
      <c r="FA730" s="1469"/>
      <c r="FB730" s="1469"/>
      <c r="FC730" s="1469"/>
      <c r="FD730" s="1470"/>
      <c r="FE730" s="1468" t="str">
        <f t="shared" si="31"/>
        <v/>
      </c>
      <c r="FF730" s="1469"/>
      <c r="FG730" s="1469"/>
      <c r="FH730" s="1469"/>
      <c r="FI730" s="1470"/>
      <c r="FJ730" s="1468" t="str">
        <f t="shared" si="32"/>
        <v/>
      </c>
      <c r="FK730" s="1469"/>
      <c r="FL730" s="1469"/>
      <c r="FM730" s="1469"/>
      <c r="FN730" s="1470"/>
      <c r="FO730" s="1468" t="str">
        <f t="shared" si="33"/>
        <v/>
      </c>
      <c r="FP730" s="1469"/>
      <c r="FQ730" s="1469"/>
      <c r="FR730" s="1469"/>
      <c r="FS730" s="1470"/>
      <c r="FT730" s="1468" t="str">
        <f t="shared" si="34"/>
        <v/>
      </c>
      <c r="FU730" s="1469"/>
      <c r="FV730" s="1469"/>
      <c r="FW730" s="1469"/>
      <c r="FX730" s="1470"/>
      <c r="FY730" s="1468" t="str">
        <f t="shared" si="35"/>
        <v/>
      </c>
      <c r="FZ730" s="1469"/>
      <c r="GA730" s="1469"/>
      <c r="GB730" s="1469"/>
      <c r="GC730" s="1470"/>
    </row>
    <row r="731" spans="1:185" ht="12.95" customHeight="1">
      <c r="B731" s="1382"/>
      <c r="C731" s="1383"/>
      <c r="D731" s="1383"/>
      <c r="E731" s="1383"/>
      <c r="F731" s="1384"/>
      <c r="G731" s="1341"/>
      <c r="H731" s="1342"/>
      <c r="I731" s="1342"/>
      <c r="J731" s="1343"/>
      <c r="K731" s="1347"/>
      <c r="L731" s="1348"/>
      <c r="M731" s="1348"/>
      <c r="N731" s="1349"/>
      <c r="O731" s="1344"/>
      <c r="P731" s="1345"/>
      <c r="Q731" s="1345"/>
      <c r="R731" s="1345"/>
      <c r="S731" s="1346"/>
      <c r="T731" s="1344"/>
      <c r="U731" s="1345"/>
      <c r="V731" s="1345"/>
      <c r="W731" s="1346"/>
      <c r="X731" s="1496">
        <f t="shared" si="8"/>
        <v>0</v>
      </c>
      <c r="Y731" s="1433"/>
      <c r="Z731" s="1433"/>
      <c r="AA731" s="1433"/>
      <c r="AB731" s="1497"/>
      <c r="AC731" s="1351"/>
      <c r="AD731" s="1352"/>
      <c r="AE731" s="1352"/>
      <c r="AF731" s="1352"/>
      <c r="AG731" s="1353"/>
      <c r="AH731" s="1338" t="str">
        <f t="shared" si="36"/>
        <v/>
      </c>
      <c r="AI731" s="1339"/>
      <c r="AJ731" s="1340"/>
      <c r="AK731" s="1382" t="s">
        <v>590</v>
      </c>
      <c r="AL731" s="1383"/>
      <c r="AM731" s="1383"/>
      <c r="AN731" s="1383"/>
      <c r="AO731" s="1384"/>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8">
        <f t="shared" si="37"/>
        <v>0</v>
      </c>
      <c r="CH731" s="1470"/>
      <c r="CI731" s="1480">
        <f t="shared" si="38"/>
        <v>0</v>
      </c>
      <c r="CJ731" s="1481"/>
      <c r="CK731" s="1468">
        <f t="shared" si="16"/>
        <v>0</v>
      </c>
      <c r="CL731" s="1470"/>
      <c r="CM731" s="1480">
        <f t="shared" si="17"/>
        <v>0</v>
      </c>
      <c r="CN731" s="1481"/>
      <c r="CO731" s="3"/>
      <c r="CP731" s="1472">
        <f t="shared" si="18"/>
        <v>0</v>
      </c>
      <c r="CQ731" s="1473"/>
      <c r="CR731" s="1473"/>
      <c r="CS731" s="1473"/>
      <c r="CT731" s="1474"/>
      <c r="CU731" s="1455">
        <f t="shared" si="19"/>
        <v>0</v>
      </c>
      <c r="CV731" s="1455"/>
      <c r="CW731" s="1455"/>
      <c r="CX731" s="1455"/>
      <c r="CY731" s="1455"/>
      <c r="CZ731" s="1455">
        <f t="shared" si="20"/>
        <v>0</v>
      </c>
      <c r="DA731" s="1455"/>
      <c r="DB731" s="1455"/>
      <c r="DC731" s="1455"/>
      <c r="DD731" s="1455"/>
      <c r="DE731" s="1455">
        <f t="shared" si="21"/>
        <v>0</v>
      </c>
      <c r="DF731" s="1455"/>
      <c r="DG731" s="1455"/>
      <c r="DH731" s="1455"/>
      <c r="DI731" s="1455"/>
      <c r="DJ731" s="1455">
        <f t="shared" si="22"/>
        <v>0</v>
      </c>
      <c r="DK731" s="1455"/>
      <c r="DL731" s="1455"/>
      <c r="DM731" s="1455"/>
      <c r="DN731" s="1455"/>
      <c r="DO731" s="1455">
        <f t="shared" si="23"/>
        <v>0</v>
      </c>
      <c r="DP731" s="1455"/>
      <c r="DQ731" s="1455"/>
      <c r="DR731" s="1455"/>
      <c r="DS731" s="1455"/>
      <c r="DT731" s="6"/>
      <c r="DU731" s="1456">
        <f t="shared" si="24"/>
        <v>0</v>
      </c>
      <c r="DV731" s="1456"/>
      <c r="DW731" s="1456"/>
      <c r="DX731" s="1456"/>
      <c r="DY731" s="1456"/>
      <c r="DZ731" s="1456">
        <f t="shared" si="25"/>
        <v>0</v>
      </c>
      <c r="EA731" s="1456"/>
      <c r="EB731" s="1456"/>
      <c r="EC731" s="1456"/>
      <c r="ED731" s="1456"/>
      <c r="EE731" s="1456">
        <f t="shared" si="26"/>
        <v>0</v>
      </c>
      <c r="EF731" s="1456"/>
      <c r="EG731" s="1456"/>
      <c r="EH731" s="1456"/>
      <c r="EI731" s="1456"/>
      <c r="EJ731" s="1456">
        <f t="shared" si="27"/>
        <v>0</v>
      </c>
      <c r="EK731" s="1456"/>
      <c r="EL731" s="1456"/>
      <c r="EM731" s="1456"/>
      <c r="EN731" s="1456"/>
      <c r="EO731" s="1456">
        <f t="shared" si="28"/>
        <v>0</v>
      </c>
      <c r="EP731" s="1456"/>
      <c r="EQ731" s="1456"/>
      <c r="ER731" s="1456"/>
      <c r="ES731" s="1456"/>
      <c r="ET731" s="1456">
        <f t="shared" si="29"/>
        <v>0</v>
      </c>
      <c r="EU731" s="1456"/>
      <c r="EV731" s="1456"/>
      <c r="EW731" s="1456"/>
      <c r="EX731" s="1456"/>
      <c r="EZ731" s="1468" t="str">
        <f t="shared" si="30"/>
        <v/>
      </c>
      <c r="FA731" s="1469"/>
      <c r="FB731" s="1469"/>
      <c r="FC731" s="1469"/>
      <c r="FD731" s="1470"/>
      <c r="FE731" s="1468" t="str">
        <f t="shared" si="31"/>
        <v/>
      </c>
      <c r="FF731" s="1469"/>
      <c r="FG731" s="1469"/>
      <c r="FH731" s="1469"/>
      <c r="FI731" s="1470"/>
      <c r="FJ731" s="1468" t="str">
        <f t="shared" si="32"/>
        <v/>
      </c>
      <c r="FK731" s="1469"/>
      <c r="FL731" s="1469"/>
      <c r="FM731" s="1469"/>
      <c r="FN731" s="1470"/>
      <c r="FO731" s="1468" t="str">
        <f t="shared" si="33"/>
        <v/>
      </c>
      <c r="FP731" s="1469"/>
      <c r="FQ731" s="1469"/>
      <c r="FR731" s="1469"/>
      <c r="FS731" s="1470"/>
      <c r="FT731" s="1468" t="str">
        <f t="shared" si="34"/>
        <v/>
      </c>
      <c r="FU731" s="1469"/>
      <c r="FV731" s="1469"/>
      <c r="FW731" s="1469"/>
      <c r="FX731" s="1470"/>
      <c r="FY731" s="1468" t="str">
        <f t="shared" si="35"/>
        <v/>
      </c>
      <c r="FZ731" s="1469"/>
      <c r="GA731" s="1469"/>
      <c r="GB731" s="1469"/>
      <c r="GC731" s="1470"/>
    </row>
    <row r="732" spans="1:185" ht="12.95" customHeight="1">
      <c r="B732" s="1382"/>
      <c r="C732" s="1383"/>
      <c r="D732" s="1383"/>
      <c r="E732" s="1383"/>
      <c r="F732" s="1384"/>
      <c r="G732" s="1341"/>
      <c r="H732" s="1342"/>
      <c r="I732" s="1342"/>
      <c r="J732" s="1343"/>
      <c r="K732" s="1347"/>
      <c r="L732" s="1348"/>
      <c r="M732" s="1348"/>
      <c r="N732" s="1349"/>
      <c r="O732" s="1344"/>
      <c r="P732" s="1345"/>
      <c r="Q732" s="1345"/>
      <c r="R732" s="1345"/>
      <c r="S732" s="1346"/>
      <c r="T732" s="1344"/>
      <c r="U732" s="1345"/>
      <c r="V732" s="1345"/>
      <c r="W732" s="1346"/>
      <c r="X732" s="1496">
        <f t="shared" si="8"/>
        <v>0</v>
      </c>
      <c r="Y732" s="1433"/>
      <c r="Z732" s="1433"/>
      <c r="AA732" s="1433"/>
      <c r="AB732" s="1497"/>
      <c r="AC732" s="1351"/>
      <c r="AD732" s="1352"/>
      <c r="AE732" s="1352"/>
      <c r="AF732" s="1352"/>
      <c r="AG732" s="1353"/>
      <c r="AH732" s="1338" t="str">
        <f t="shared" si="36"/>
        <v/>
      </c>
      <c r="AI732" s="1339"/>
      <c r="AJ732" s="1340"/>
      <c r="AK732" s="1382" t="s">
        <v>590</v>
      </c>
      <c r="AL732" s="1383"/>
      <c r="AM732" s="1383"/>
      <c r="AN732" s="1383"/>
      <c r="AO732" s="1384"/>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8">
        <f t="shared" si="37"/>
        <v>0</v>
      </c>
      <c r="CH732" s="1470"/>
      <c r="CI732" s="1480">
        <f t="shared" si="38"/>
        <v>0</v>
      </c>
      <c r="CJ732" s="1481"/>
      <c r="CK732" s="1468">
        <f t="shared" si="16"/>
        <v>0</v>
      </c>
      <c r="CL732" s="1470"/>
      <c r="CM732" s="1480">
        <f t="shared" si="17"/>
        <v>0</v>
      </c>
      <c r="CN732" s="1481"/>
      <c r="CO732" s="3"/>
      <c r="CP732" s="1472">
        <f t="shared" si="18"/>
        <v>0</v>
      </c>
      <c r="CQ732" s="1473"/>
      <c r="CR732" s="1473"/>
      <c r="CS732" s="1473"/>
      <c r="CT732" s="1474"/>
      <c r="CU732" s="1455">
        <f t="shared" si="19"/>
        <v>0</v>
      </c>
      <c r="CV732" s="1455"/>
      <c r="CW732" s="1455"/>
      <c r="CX732" s="1455"/>
      <c r="CY732" s="1455"/>
      <c r="CZ732" s="1455">
        <f t="shared" si="20"/>
        <v>0</v>
      </c>
      <c r="DA732" s="1455"/>
      <c r="DB732" s="1455"/>
      <c r="DC732" s="1455"/>
      <c r="DD732" s="1455"/>
      <c r="DE732" s="1455">
        <f t="shared" si="21"/>
        <v>0</v>
      </c>
      <c r="DF732" s="1455"/>
      <c r="DG732" s="1455"/>
      <c r="DH732" s="1455"/>
      <c r="DI732" s="1455"/>
      <c r="DJ732" s="1455">
        <f t="shared" si="22"/>
        <v>0</v>
      </c>
      <c r="DK732" s="1455"/>
      <c r="DL732" s="1455"/>
      <c r="DM732" s="1455"/>
      <c r="DN732" s="1455"/>
      <c r="DO732" s="1455">
        <f t="shared" si="23"/>
        <v>0</v>
      </c>
      <c r="DP732" s="1455"/>
      <c r="DQ732" s="1455"/>
      <c r="DR732" s="1455"/>
      <c r="DS732" s="1455"/>
      <c r="DT732" s="6"/>
      <c r="DU732" s="1456">
        <f t="shared" si="24"/>
        <v>0</v>
      </c>
      <c r="DV732" s="1456"/>
      <c r="DW732" s="1456"/>
      <c r="DX732" s="1456"/>
      <c r="DY732" s="1456"/>
      <c r="DZ732" s="1456">
        <f t="shared" si="25"/>
        <v>0</v>
      </c>
      <c r="EA732" s="1456"/>
      <c r="EB732" s="1456"/>
      <c r="EC732" s="1456"/>
      <c r="ED732" s="1456"/>
      <c r="EE732" s="1456">
        <f t="shared" si="26"/>
        <v>0</v>
      </c>
      <c r="EF732" s="1456"/>
      <c r="EG732" s="1456"/>
      <c r="EH732" s="1456"/>
      <c r="EI732" s="1456"/>
      <c r="EJ732" s="1456">
        <f t="shared" si="27"/>
        <v>0</v>
      </c>
      <c r="EK732" s="1456"/>
      <c r="EL732" s="1456"/>
      <c r="EM732" s="1456"/>
      <c r="EN732" s="1456"/>
      <c r="EO732" s="1456">
        <f t="shared" si="28"/>
        <v>0</v>
      </c>
      <c r="EP732" s="1456"/>
      <c r="EQ732" s="1456"/>
      <c r="ER732" s="1456"/>
      <c r="ES732" s="1456"/>
      <c r="ET732" s="1456">
        <f t="shared" si="29"/>
        <v>0</v>
      </c>
      <c r="EU732" s="1456"/>
      <c r="EV732" s="1456"/>
      <c r="EW732" s="1456"/>
      <c r="EX732" s="1456"/>
      <c r="EZ732" s="1468" t="str">
        <f t="shared" si="30"/>
        <v/>
      </c>
      <c r="FA732" s="1469"/>
      <c r="FB732" s="1469"/>
      <c r="FC732" s="1469"/>
      <c r="FD732" s="1470"/>
      <c r="FE732" s="1468" t="str">
        <f t="shared" si="31"/>
        <v/>
      </c>
      <c r="FF732" s="1469"/>
      <c r="FG732" s="1469"/>
      <c r="FH732" s="1469"/>
      <c r="FI732" s="1470"/>
      <c r="FJ732" s="1468" t="str">
        <f t="shared" si="32"/>
        <v/>
      </c>
      <c r="FK732" s="1469"/>
      <c r="FL732" s="1469"/>
      <c r="FM732" s="1469"/>
      <c r="FN732" s="1470"/>
      <c r="FO732" s="1468" t="str">
        <f t="shared" si="33"/>
        <v/>
      </c>
      <c r="FP732" s="1469"/>
      <c r="FQ732" s="1469"/>
      <c r="FR732" s="1469"/>
      <c r="FS732" s="1470"/>
      <c r="FT732" s="1468" t="str">
        <f t="shared" si="34"/>
        <v/>
      </c>
      <c r="FU732" s="1469"/>
      <c r="FV732" s="1469"/>
      <c r="FW732" s="1469"/>
      <c r="FX732" s="1470"/>
      <c r="FY732" s="1468" t="str">
        <f t="shared" si="35"/>
        <v/>
      </c>
      <c r="FZ732" s="1469"/>
      <c r="GA732" s="1469"/>
      <c r="GB732" s="1469"/>
      <c r="GC732" s="1470"/>
    </row>
    <row r="733" spans="1:185" ht="12.95" customHeight="1">
      <c r="B733" s="1382"/>
      <c r="C733" s="1383"/>
      <c r="D733" s="1383"/>
      <c r="E733" s="1383"/>
      <c r="F733" s="1384"/>
      <c r="G733" s="1341"/>
      <c r="H733" s="1342"/>
      <c r="I733" s="1342"/>
      <c r="J733" s="1343"/>
      <c r="K733" s="1347"/>
      <c r="L733" s="1348"/>
      <c r="M733" s="1348"/>
      <c r="N733" s="1349"/>
      <c r="O733" s="1344"/>
      <c r="P733" s="1345"/>
      <c r="Q733" s="1345"/>
      <c r="R733" s="1345"/>
      <c r="S733" s="1346"/>
      <c r="T733" s="1344"/>
      <c r="U733" s="1345"/>
      <c r="V733" s="1345"/>
      <c r="W733" s="1346"/>
      <c r="X733" s="1496">
        <f t="shared" si="8"/>
        <v>0</v>
      </c>
      <c r="Y733" s="1433"/>
      <c r="Z733" s="1433"/>
      <c r="AA733" s="1433"/>
      <c r="AB733" s="1497"/>
      <c r="AC733" s="1351"/>
      <c r="AD733" s="1352"/>
      <c r="AE733" s="1352"/>
      <c r="AF733" s="1352"/>
      <c r="AG733" s="1353"/>
      <c r="AH733" s="1338" t="str">
        <f t="shared" si="36"/>
        <v/>
      </c>
      <c r="AI733" s="1339"/>
      <c r="AJ733" s="1340"/>
      <c r="AK733" s="1382" t="s">
        <v>590</v>
      </c>
      <c r="AL733" s="1383"/>
      <c r="AM733" s="1383"/>
      <c r="AN733" s="1383"/>
      <c r="AO733" s="1384"/>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8">
        <f t="shared" si="37"/>
        <v>0</v>
      </c>
      <c r="CH733" s="1470"/>
      <c r="CI733" s="1480">
        <f t="shared" si="38"/>
        <v>0</v>
      </c>
      <c r="CJ733" s="1481"/>
      <c r="CK733" s="1468">
        <f t="shared" si="16"/>
        <v>0</v>
      </c>
      <c r="CL733" s="1470"/>
      <c r="CM733" s="1480">
        <f t="shared" si="17"/>
        <v>0</v>
      </c>
      <c r="CN733" s="1481"/>
      <c r="CO733" s="3"/>
      <c r="CP733" s="1472">
        <f t="shared" si="18"/>
        <v>0</v>
      </c>
      <c r="CQ733" s="1473"/>
      <c r="CR733" s="1473"/>
      <c r="CS733" s="1473"/>
      <c r="CT733" s="1474"/>
      <c r="CU733" s="1455">
        <f t="shared" si="19"/>
        <v>0</v>
      </c>
      <c r="CV733" s="1455"/>
      <c r="CW733" s="1455"/>
      <c r="CX733" s="1455"/>
      <c r="CY733" s="1455"/>
      <c r="CZ733" s="1455">
        <f t="shared" si="20"/>
        <v>0</v>
      </c>
      <c r="DA733" s="1455"/>
      <c r="DB733" s="1455"/>
      <c r="DC733" s="1455"/>
      <c r="DD733" s="1455"/>
      <c r="DE733" s="1455">
        <f t="shared" si="21"/>
        <v>0</v>
      </c>
      <c r="DF733" s="1455"/>
      <c r="DG733" s="1455"/>
      <c r="DH733" s="1455"/>
      <c r="DI733" s="1455"/>
      <c r="DJ733" s="1455">
        <f t="shared" si="22"/>
        <v>0</v>
      </c>
      <c r="DK733" s="1455"/>
      <c r="DL733" s="1455"/>
      <c r="DM733" s="1455"/>
      <c r="DN733" s="1455"/>
      <c r="DO733" s="1455">
        <f t="shared" si="23"/>
        <v>0</v>
      </c>
      <c r="DP733" s="1455"/>
      <c r="DQ733" s="1455"/>
      <c r="DR733" s="1455"/>
      <c r="DS733" s="1455"/>
      <c r="DT733" s="6"/>
      <c r="DU733" s="1456">
        <f t="shared" si="24"/>
        <v>0</v>
      </c>
      <c r="DV733" s="1456"/>
      <c r="DW733" s="1456"/>
      <c r="DX733" s="1456"/>
      <c r="DY733" s="1456"/>
      <c r="DZ733" s="1456">
        <f t="shared" si="25"/>
        <v>0</v>
      </c>
      <c r="EA733" s="1456"/>
      <c r="EB733" s="1456"/>
      <c r="EC733" s="1456"/>
      <c r="ED733" s="1456"/>
      <c r="EE733" s="1456">
        <f t="shared" si="26"/>
        <v>0</v>
      </c>
      <c r="EF733" s="1456"/>
      <c r="EG733" s="1456"/>
      <c r="EH733" s="1456"/>
      <c r="EI733" s="1456"/>
      <c r="EJ733" s="1456">
        <f t="shared" si="27"/>
        <v>0</v>
      </c>
      <c r="EK733" s="1456"/>
      <c r="EL733" s="1456"/>
      <c r="EM733" s="1456"/>
      <c r="EN733" s="1456"/>
      <c r="EO733" s="1456">
        <f t="shared" si="28"/>
        <v>0</v>
      </c>
      <c r="EP733" s="1456"/>
      <c r="EQ733" s="1456"/>
      <c r="ER733" s="1456"/>
      <c r="ES733" s="1456"/>
      <c r="ET733" s="1456">
        <f t="shared" si="29"/>
        <v>0</v>
      </c>
      <c r="EU733" s="1456"/>
      <c r="EV733" s="1456"/>
      <c r="EW733" s="1456"/>
      <c r="EX733" s="1456"/>
      <c r="EZ733" s="1468" t="str">
        <f t="shared" si="30"/>
        <v/>
      </c>
      <c r="FA733" s="1469"/>
      <c r="FB733" s="1469"/>
      <c r="FC733" s="1469"/>
      <c r="FD733" s="1470"/>
      <c r="FE733" s="1468" t="str">
        <f t="shared" si="31"/>
        <v/>
      </c>
      <c r="FF733" s="1469"/>
      <c r="FG733" s="1469"/>
      <c r="FH733" s="1469"/>
      <c r="FI733" s="1470"/>
      <c r="FJ733" s="1468" t="str">
        <f t="shared" si="32"/>
        <v/>
      </c>
      <c r="FK733" s="1469"/>
      <c r="FL733" s="1469"/>
      <c r="FM733" s="1469"/>
      <c r="FN733" s="1470"/>
      <c r="FO733" s="1468" t="str">
        <f t="shared" si="33"/>
        <v/>
      </c>
      <c r="FP733" s="1469"/>
      <c r="FQ733" s="1469"/>
      <c r="FR733" s="1469"/>
      <c r="FS733" s="1470"/>
      <c r="FT733" s="1468" t="str">
        <f t="shared" si="34"/>
        <v/>
      </c>
      <c r="FU733" s="1469"/>
      <c r="FV733" s="1469"/>
      <c r="FW733" s="1469"/>
      <c r="FX733" s="1470"/>
      <c r="FY733" s="1468" t="str">
        <f t="shared" si="35"/>
        <v/>
      </c>
      <c r="FZ733" s="1469"/>
      <c r="GA733" s="1469"/>
      <c r="GB733" s="1469"/>
      <c r="GC733" s="1470"/>
    </row>
    <row r="734" spans="1:185" ht="12.95" customHeight="1">
      <c r="B734" s="1382"/>
      <c r="C734" s="1383"/>
      <c r="D734" s="1383"/>
      <c r="E734" s="1383"/>
      <c r="F734" s="1384"/>
      <c r="G734" s="1341"/>
      <c r="H734" s="1342"/>
      <c r="I734" s="1342"/>
      <c r="J734" s="1343"/>
      <c r="K734" s="1347"/>
      <c r="L734" s="1348"/>
      <c r="M734" s="1348"/>
      <c r="N734" s="1349"/>
      <c r="O734" s="1344"/>
      <c r="P734" s="1345"/>
      <c r="Q734" s="1345"/>
      <c r="R734" s="1345"/>
      <c r="S734" s="1346"/>
      <c r="T734" s="1344"/>
      <c r="U734" s="1345"/>
      <c r="V734" s="1345"/>
      <c r="W734" s="1346"/>
      <c r="X734" s="1496">
        <f t="shared" si="8"/>
        <v>0</v>
      </c>
      <c r="Y734" s="1433"/>
      <c r="Z734" s="1433"/>
      <c r="AA734" s="1433"/>
      <c r="AB734" s="1497"/>
      <c r="AC734" s="1351"/>
      <c r="AD734" s="1352"/>
      <c r="AE734" s="1352"/>
      <c r="AF734" s="1352"/>
      <c r="AG734" s="1353"/>
      <c r="AH734" s="1338" t="str">
        <f t="shared" si="36"/>
        <v/>
      </c>
      <c r="AI734" s="1339"/>
      <c r="AJ734" s="1340"/>
      <c r="AK734" s="1382" t="s">
        <v>590</v>
      </c>
      <c r="AL734" s="1383"/>
      <c r="AM734" s="1383"/>
      <c r="AN734" s="1383"/>
      <c r="AO734" s="1384"/>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8">
        <f t="shared" si="37"/>
        <v>0</v>
      </c>
      <c r="CH734" s="1470"/>
      <c r="CI734" s="1480">
        <f t="shared" si="38"/>
        <v>0</v>
      </c>
      <c r="CJ734" s="1481"/>
      <c r="CK734" s="1468">
        <f t="shared" si="16"/>
        <v>0</v>
      </c>
      <c r="CL734" s="1470"/>
      <c r="CM734" s="1480">
        <f t="shared" si="17"/>
        <v>0</v>
      </c>
      <c r="CN734" s="1481"/>
      <c r="CO734" s="3"/>
      <c r="CP734" s="1472">
        <f t="shared" si="18"/>
        <v>0</v>
      </c>
      <c r="CQ734" s="1473"/>
      <c r="CR734" s="1473"/>
      <c r="CS734" s="1473"/>
      <c r="CT734" s="1474"/>
      <c r="CU734" s="1455">
        <f t="shared" si="19"/>
        <v>0</v>
      </c>
      <c r="CV734" s="1455"/>
      <c r="CW734" s="1455"/>
      <c r="CX734" s="1455"/>
      <c r="CY734" s="1455"/>
      <c r="CZ734" s="1455">
        <f t="shared" si="20"/>
        <v>0</v>
      </c>
      <c r="DA734" s="1455"/>
      <c r="DB734" s="1455"/>
      <c r="DC734" s="1455"/>
      <c r="DD734" s="1455"/>
      <c r="DE734" s="1455">
        <f t="shared" si="21"/>
        <v>0</v>
      </c>
      <c r="DF734" s="1455"/>
      <c r="DG734" s="1455"/>
      <c r="DH734" s="1455"/>
      <c r="DI734" s="1455"/>
      <c r="DJ734" s="1455">
        <f t="shared" si="22"/>
        <v>0</v>
      </c>
      <c r="DK734" s="1455"/>
      <c r="DL734" s="1455"/>
      <c r="DM734" s="1455"/>
      <c r="DN734" s="1455"/>
      <c r="DO734" s="1455">
        <f t="shared" si="23"/>
        <v>0</v>
      </c>
      <c r="DP734" s="1455"/>
      <c r="DQ734" s="1455"/>
      <c r="DR734" s="1455"/>
      <c r="DS734" s="1455"/>
      <c r="DT734" s="6"/>
      <c r="DU734" s="1456">
        <f t="shared" si="24"/>
        <v>0</v>
      </c>
      <c r="DV734" s="1456"/>
      <c r="DW734" s="1456"/>
      <c r="DX734" s="1456"/>
      <c r="DY734" s="1456"/>
      <c r="DZ734" s="1456">
        <f t="shared" si="25"/>
        <v>0</v>
      </c>
      <c r="EA734" s="1456"/>
      <c r="EB734" s="1456"/>
      <c r="EC734" s="1456"/>
      <c r="ED734" s="1456"/>
      <c r="EE734" s="1456">
        <f t="shared" si="26"/>
        <v>0</v>
      </c>
      <c r="EF734" s="1456"/>
      <c r="EG734" s="1456"/>
      <c r="EH734" s="1456"/>
      <c r="EI734" s="1456"/>
      <c r="EJ734" s="1456">
        <f t="shared" si="27"/>
        <v>0</v>
      </c>
      <c r="EK734" s="1456"/>
      <c r="EL734" s="1456"/>
      <c r="EM734" s="1456"/>
      <c r="EN734" s="1456"/>
      <c r="EO734" s="1456">
        <f t="shared" si="28"/>
        <v>0</v>
      </c>
      <c r="EP734" s="1456"/>
      <c r="EQ734" s="1456"/>
      <c r="ER734" s="1456"/>
      <c r="ES734" s="1456"/>
      <c r="ET734" s="1456">
        <f t="shared" si="29"/>
        <v>0</v>
      </c>
      <c r="EU734" s="1456"/>
      <c r="EV734" s="1456"/>
      <c r="EW734" s="1456"/>
      <c r="EX734" s="1456"/>
      <c r="EZ734" s="1468" t="str">
        <f t="shared" si="30"/>
        <v/>
      </c>
      <c r="FA734" s="1469"/>
      <c r="FB734" s="1469"/>
      <c r="FC734" s="1469"/>
      <c r="FD734" s="1470"/>
      <c r="FE734" s="1468" t="str">
        <f t="shared" si="31"/>
        <v/>
      </c>
      <c r="FF734" s="1469"/>
      <c r="FG734" s="1469"/>
      <c r="FH734" s="1469"/>
      <c r="FI734" s="1470"/>
      <c r="FJ734" s="1468" t="str">
        <f t="shared" si="32"/>
        <v/>
      </c>
      <c r="FK734" s="1469"/>
      <c r="FL734" s="1469"/>
      <c r="FM734" s="1469"/>
      <c r="FN734" s="1470"/>
      <c r="FO734" s="1468" t="str">
        <f t="shared" si="33"/>
        <v/>
      </c>
      <c r="FP734" s="1469"/>
      <c r="FQ734" s="1469"/>
      <c r="FR734" s="1469"/>
      <c r="FS734" s="1470"/>
      <c r="FT734" s="1468" t="str">
        <f t="shared" si="34"/>
        <v/>
      </c>
      <c r="FU734" s="1469"/>
      <c r="FV734" s="1469"/>
      <c r="FW734" s="1469"/>
      <c r="FX734" s="1470"/>
      <c r="FY734" s="1468" t="str">
        <f t="shared" si="35"/>
        <v/>
      </c>
      <c r="FZ734" s="1469"/>
      <c r="GA734" s="1469"/>
      <c r="GB734" s="1469"/>
      <c r="GC734" s="1470"/>
    </row>
    <row r="735" spans="1:185" ht="12.95" customHeight="1">
      <c r="B735" s="1382"/>
      <c r="C735" s="1383"/>
      <c r="D735" s="1383"/>
      <c r="E735" s="1383"/>
      <c r="F735" s="1384"/>
      <c r="G735" s="1341"/>
      <c r="H735" s="1342"/>
      <c r="I735" s="1342"/>
      <c r="J735" s="1343"/>
      <c r="K735" s="1347"/>
      <c r="L735" s="1348"/>
      <c r="M735" s="1348"/>
      <c r="N735" s="1349"/>
      <c r="O735" s="1344"/>
      <c r="P735" s="1345"/>
      <c r="Q735" s="1345"/>
      <c r="R735" s="1345"/>
      <c r="S735" s="1346"/>
      <c r="T735" s="1344"/>
      <c r="U735" s="1345"/>
      <c r="V735" s="1345"/>
      <c r="W735" s="1346"/>
      <c r="X735" s="1496">
        <f t="shared" si="8"/>
        <v>0</v>
      </c>
      <c r="Y735" s="1433"/>
      <c r="Z735" s="1433"/>
      <c r="AA735" s="1433"/>
      <c r="AB735" s="1497"/>
      <c r="AC735" s="1351"/>
      <c r="AD735" s="1352"/>
      <c r="AE735" s="1352"/>
      <c r="AF735" s="1352"/>
      <c r="AG735" s="1353"/>
      <c r="AH735" s="1338" t="str">
        <f t="shared" si="36"/>
        <v/>
      </c>
      <c r="AI735" s="1339"/>
      <c r="AJ735" s="1340"/>
      <c r="AK735" s="1382" t="s">
        <v>590</v>
      </c>
      <c r="AL735" s="1383"/>
      <c r="AM735" s="1383"/>
      <c r="AN735" s="1383"/>
      <c r="AO735" s="1384"/>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8">
        <f t="shared" si="37"/>
        <v>0</v>
      </c>
      <c r="CH735" s="1470"/>
      <c r="CI735" s="1480">
        <f t="shared" si="38"/>
        <v>0</v>
      </c>
      <c r="CJ735" s="1481"/>
      <c r="CK735" s="1468">
        <f t="shared" si="16"/>
        <v>0</v>
      </c>
      <c r="CL735" s="1470"/>
      <c r="CM735" s="1480">
        <f t="shared" si="17"/>
        <v>0</v>
      </c>
      <c r="CN735" s="1481"/>
      <c r="CO735" s="3"/>
      <c r="CP735" s="1472">
        <f t="shared" si="18"/>
        <v>0</v>
      </c>
      <c r="CQ735" s="1473"/>
      <c r="CR735" s="1473"/>
      <c r="CS735" s="1473"/>
      <c r="CT735" s="1474"/>
      <c r="CU735" s="1455">
        <f t="shared" si="19"/>
        <v>0</v>
      </c>
      <c r="CV735" s="1455"/>
      <c r="CW735" s="1455"/>
      <c r="CX735" s="1455"/>
      <c r="CY735" s="1455"/>
      <c r="CZ735" s="1455">
        <f t="shared" si="20"/>
        <v>0</v>
      </c>
      <c r="DA735" s="1455"/>
      <c r="DB735" s="1455"/>
      <c r="DC735" s="1455"/>
      <c r="DD735" s="1455"/>
      <c r="DE735" s="1455">
        <f t="shared" si="21"/>
        <v>0</v>
      </c>
      <c r="DF735" s="1455"/>
      <c r="DG735" s="1455"/>
      <c r="DH735" s="1455"/>
      <c r="DI735" s="1455"/>
      <c r="DJ735" s="1455">
        <f t="shared" si="22"/>
        <v>0</v>
      </c>
      <c r="DK735" s="1455"/>
      <c r="DL735" s="1455"/>
      <c r="DM735" s="1455"/>
      <c r="DN735" s="1455"/>
      <c r="DO735" s="1455">
        <f t="shared" si="23"/>
        <v>0</v>
      </c>
      <c r="DP735" s="1455"/>
      <c r="DQ735" s="1455"/>
      <c r="DR735" s="1455"/>
      <c r="DS735" s="1455"/>
      <c r="DT735" s="6"/>
      <c r="DU735" s="1456">
        <f t="shared" si="24"/>
        <v>0</v>
      </c>
      <c r="DV735" s="1456"/>
      <c r="DW735" s="1456"/>
      <c r="DX735" s="1456"/>
      <c r="DY735" s="1456"/>
      <c r="DZ735" s="1456">
        <f t="shared" si="25"/>
        <v>0</v>
      </c>
      <c r="EA735" s="1456"/>
      <c r="EB735" s="1456"/>
      <c r="EC735" s="1456"/>
      <c r="ED735" s="1456"/>
      <c r="EE735" s="1456">
        <f t="shared" si="26"/>
        <v>0</v>
      </c>
      <c r="EF735" s="1456"/>
      <c r="EG735" s="1456"/>
      <c r="EH735" s="1456"/>
      <c r="EI735" s="1456"/>
      <c r="EJ735" s="1456">
        <f t="shared" si="27"/>
        <v>0</v>
      </c>
      <c r="EK735" s="1456"/>
      <c r="EL735" s="1456"/>
      <c r="EM735" s="1456"/>
      <c r="EN735" s="1456"/>
      <c r="EO735" s="1456">
        <f t="shared" si="28"/>
        <v>0</v>
      </c>
      <c r="EP735" s="1456"/>
      <c r="EQ735" s="1456"/>
      <c r="ER735" s="1456"/>
      <c r="ES735" s="1456"/>
      <c r="ET735" s="1456">
        <f t="shared" si="29"/>
        <v>0</v>
      </c>
      <c r="EU735" s="1456"/>
      <c r="EV735" s="1456"/>
      <c r="EW735" s="1456"/>
      <c r="EX735" s="1456"/>
      <c r="EZ735" s="1468" t="str">
        <f t="shared" si="30"/>
        <v/>
      </c>
      <c r="FA735" s="1469"/>
      <c r="FB735" s="1469"/>
      <c r="FC735" s="1469"/>
      <c r="FD735" s="1470"/>
      <c r="FE735" s="1468" t="str">
        <f t="shared" si="31"/>
        <v/>
      </c>
      <c r="FF735" s="1469"/>
      <c r="FG735" s="1469"/>
      <c r="FH735" s="1469"/>
      <c r="FI735" s="1470"/>
      <c r="FJ735" s="1468" t="str">
        <f t="shared" si="32"/>
        <v/>
      </c>
      <c r="FK735" s="1469"/>
      <c r="FL735" s="1469"/>
      <c r="FM735" s="1469"/>
      <c r="FN735" s="1470"/>
      <c r="FO735" s="1468" t="str">
        <f t="shared" si="33"/>
        <v/>
      </c>
      <c r="FP735" s="1469"/>
      <c r="FQ735" s="1469"/>
      <c r="FR735" s="1469"/>
      <c r="FS735" s="1470"/>
      <c r="FT735" s="1468" t="str">
        <f t="shared" si="34"/>
        <v/>
      </c>
      <c r="FU735" s="1469"/>
      <c r="FV735" s="1469"/>
      <c r="FW735" s="1469"/>
      <c r="FX735" s="1470"/>
      <c r="FY735" s="1468" t="str">
        <f t="shared" si="35"/>
        <v/>
      </c>
      <c r="FZ735" s="1469"/>
      <c r="GA735" s="1469"/>
      <c r="GB735" s="1469"/>
      <c r="GC735" s="1470"/>
    </row>
    <row r="736" spans="1:185" ht="12.95" customHeight="1">
      <c r="B736" s="1382"/>
      <c r="C736" s="1383"/>
      <c r="D736" s="1383"/>
      <c r="E736" s="1383"/>
      <c r="F736" s="1384"/>
      <c r="G736" s="1341"/>
      <c r="H736" s="1342"/>
      <c r="I736" s="1342"/>
      <c r="J736" s="1343"/>
      <c r="K736" s="1347"/>
      <c r="L736" s="1348"/>
      <c r="M736" s="1348"/>
      <c r="N736" s="1349"/>
      <c r="O736" s="1344"/>
      <c r="P736" s="1345"/>
      <c r="Q736" s="1345"/>
      <c r="R736" s="1345"/>
      <c r="S736" s="1346"/>
      <c r="T736" s="1344"/>
      <c r="U736" s="1345"/>
      <c r="V736" s="1345"/>
      <c r="W736" s="1346"/>
      <c r="X736" s="1496">
        <f t="shared" si="8"/>
        <v>0</v>
      </c>
      <c r="Y736" s="1433"/>
      <c r="Z736" s="1433"/>
      <c r="AA736" s="1433"/>
      <c r="AB736" s="1497"/>
      <c r="AC736" s="1351"/>
      <c r="AD736" s="1352"/>
      <c r="AE736" s="1352"/>
      <c r="AF736" s="1352"/>
      <c r="AG736" s="1353"/>
      <c r="AH736" s="1338" t="str">
        <f t="shared" si="36"/>
        <v/>
      </c>
      <c r="AI736" s="1339"/>
      <c r="AJ736" s="1340"/>
      <c r="AK736" s="1382" t="s">
        <v>590</v>
      </c>
      <c r="AL736" s="1383"/>
      <c r="AM736" s="1383"/>
      <c r="AN736" s="1383"/>
      <c r="AO736" s="1384"/>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8">
        <f t="shared" si="37"/>
        <v>0</v>
      </c>
      <c r="CH736" s="1470"/>
      <c r="CI736" s="1480">
        <f t="shared" si="38"/>
        <v>0</v>
      </c>
      <c r="CJ736" s="1481"/>
      <c r="CK736" s="1468">
        <f t="shared" si="16"/>
        <v>0</v>
      </c>
      <c r="CL736" s="1470"/>
      <c r="CM736" s="1480">
        <f t="shared" si="17"/>
        <v>0</v>
      </c>
      <c r="CN736" s="1481"/>
      <c r="CO736" s="3"/>
      <c r="CP736" s="1472">
        <f t="shared" si="18"/>
        <v>0</v>
      </c>
      <c r="CQ736" s="1473"/>
      <c r="CR736" s="1473"/>
      <c r="CS736" s="1473"/>
      <c r="CT736" s="1474"/>
      <c r="CU736" s="1455">
        <f t="shared" si="19"/>
        <v>0</v>
      </c>
      <c r="CV736" s="1455"/>
      <c r="CW736" s="1455"/>
      <c r="CX736" s="1455"/>
      <c r="CY736" s="1455"/>
      <c r="CZ736" s="1455">
        <f t="shared" si="20"/>
        <v>0</v>
      </c>
      <c r="DA736" s="1455"/>
      <c r="DB736" s="1455"/>
      <c r="DC736" s="1455"/>
      <c r="DD736" s="1455"/>
      <c r="DE736" s="1455">
        <f t="shared" si="21"/>
        <v>0</v>
      </c>
      <c r="DF736" s="1455"/>
      <c r="DG736" s="1455"/>
      <c r="DH736" s="1455"/>
      <c r="DI736" s="1455"/>
      <c r="DJ736" s="1455">
        <f t="shared" si="22"/>
        <v>0</v>
      </c>
      <c r="DK736" s="1455"/>
      <c r="DL736" s="1455"/>
      <c r="DM736" s="1455"/>
      <c r="DN736" s="1455"/>
      <c r="DO736" s="1455">
        <f t="shared" si="23"/>
        <v>0</v>
      </c>
      <c r="DP736" s="1455"/>
      <c r="DQ736" s="1455"/>
      <c r="DR736" s="1455"/>
      <c r="DS736" s="1455"/>
      <c r="DT736" s="6"/>
      <c r="DU736" s="1456">
        <f t="shared" si="24"/>
        <v>0</v>
      </c>
      <c r="DV736" s="1456"/>
      <c r="DW736" s="1456"/>
      <c r="DX736" s="1456"/>
      <c r="DY736" s="1456"/>
      <c r="DZ736" s="1456">
        <f t="shared" si="25"/>
        <v>0</v>
      </c>
      <c r="EA736" s="1456"/>
      <c r="EB736" s="1456"/>
      <c r="EC736" s="1456"/>
      <c r="ED736" s="1456"/>
      <c r="EE736" s="1456">
        <f t="shared" si="26"/>
        <v>0</v>
      </c>
      <c r="EF736" s="1456"/>
      <c r="EG736" s="1456"/>
      <c r="EH736" s="1456"/>
      <c r="EI736" s="1456"/>
      <c r="EJ736" s="1456">
        <f t="shared" si="27"/>
        <v>0</v>
      </c>
      <c r="EK736" s="1456"/>
      <c r="EL736" s="1456"/>
      <c r="EM736" s="1456"/>
      <c r="EN736" s="1456"/>
      <c r="EO736" s="1456">
        <f t="shared" si="28"/>
        <v>0</v>
      </c>
      <c r="EP736" s="1456"/>
      <c r="EQ736" s="1456"/>
      <c r="ER736" s="1456"/>
      <c r="ES736" s="1456"/>
      <c r="ET736" s="1456">
        <f t="shared" si="29"/>
        <v>0</v>
      </c>
      <c r="EU736" s="1456"/>
      <c r="EV736" s="1456"/>
      <c r="EW736" s="1456"/>
      <c r="EX736" s="1456"/>
      <c r="EZ736" s="1468" t="str">
        <f t="shared" si="30"/>
        <v/>
      </c>
      <c r="FA736" s="1469"/>
      <c r="FB736" s="1469"/>
      <c r="FC736" s="1469"/>
      <c r="FD736" s="1470"/>
      <c r="FE736" s="1468" t="str">
        <f t="shared" si="31"/>
        <v/>
      </c>
      <c r="FF736" s="1469"/>
      <c r="FG736" s="1469"/>
      <c r="FH736" s="1469"/>
      <c r="FI736" s="1470"/>
      <c r="FJ736" s="1468" t="str">
        <f t="shared" si="32"/>
        <v/>
      </c>
      <c r="FK736" s="1469"/>
      <c r="FL736" s="1469"/>
      <c r="FM736" s="1469"/>
      <c r="FN736" s="1470"/>
      <c r="FO736" s="1468" t="str">
        <f t="shared" si="33"/>
        <v/>
      </c>
      <c r="FP736" s="1469"/>
      <c r="FQ736" s="1469"/>
      <c r="FR736" s="1469"/>
      <c r="FS736" s="1470"/>
      <c r="FT736" s="1468" t="str">
        <f t="shared" si="34"/>
        <v/>
      </c>
      <c r="FU736" s="1469"/>
      <c r="FV736" s="1469"/>
      <c r="FW736" s="1469"/>
      <c r="FX736" s="1470"/>
      <c r="FY736" s="1468" t="str">
        <f t="shared" si="35"/>
        <v/>
      </c>
      <c r="FZ736" s="1469"/>
      <c r="GA736" s="1469"/>
      <c r="GB736" s="1469"/>
      <c r="GC736" s="1470"/>
    </row>
    <row r="737" spans="1:185" ht="12.95" customHeight="1">
      <c r="B737" s="1382"/>
      <c r="C737" s="1383"/>
      <c r="D737" s="1383"/>
      <c r="E737" s="1383"/>
      <c r="F737" s="1384"/>
      <c r="G737" s="1341"/>
      <c r="H737" s="1342"/>
      <c r="I737" s="1342"/>
      <c r="J737" s="1343"/>
      <c r="K737" s="1347"/>
      <c r="L737" s="1348"/>
      <c r="M737" s="1348"/>
      <c r="N737" s="1349"/>
      <c r="O737" s="1344"/>
      <c r="P737" s="1345"/>
      <c r="Q737" s="1345"/>
      <c r="R737" s="1345"/>
      <c r="S737" s="1346"/>
      <c r="T737" s="1344"/>
      <c r="U737" s="1345"/>
      <c r="V737" s="1345"/>
      <c r="W737" s="1346"/>
      <c r="X737" s="1496">
        <f t="shared" si="8"/>
        <v>0</v>
      </c>
      <c r="Y737" s="1433"/>
      <c r="Z737" s="1433"/>
      <c r="AA737" s="1433"/>
      <c r="AB737" s="1497"/>
      <c r="AC737" s="1351"/>
      <c r="AD737" s="1352"/>
      <c r="AE737" s="1352"/>
      <c r="AF737" s="1352"/>
      <c r="AG737" s="1353"/>
      <c r="AH737" s="1338" t="str">
        <f t="shared" si="36"/>
        <v/>
      </c>
      <c r="AI737" s="1339"/>
      <c r="AJ737" s="1340"/>
      <c r="AK737" s="1382" t="s">
        <v>590</v>
      </c>
      <c r="AL737" s="1383"/>
      <c r="AM737" s="1383"/>
      <c r="AN737" s="1383"/>
      <c r="AO737" s="1384"/>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8">
        <f t="shared" si="37"/>
        <v>0</v>
      </c>
      <c r="CH737" s="1470"/>
      <c r="CI737" s="1480">
        <f t="shared" si="38"/>
        <v>0</v>
      </c>
      <c r="CJ737" s="1481"/>
      <c r="CK737" s="1468">
        <f t="shared" si="16"/>
        <v>0</v>
      </c>
      <c r="CL737" s="1470"/>
      <c r="CM737" s="1480">
        <f t="shared" si="17"/>
        <v>0</v>
      </c>
      <c r="CN737" s="1481"/>
      <c r="CO737" s="3"/>
      <c r="CP737" s="1472">
        <f t="shared" si="18"/>
        <v>0</v>
      </c>
      <c r="CQ737" s="1473"/>
      <c r="CR737" s="1473"/>
      <c r="CS737" s="1473"/>
      <c r="CT737" s="1474"/>
      <c r="CU737" s="1455">
        <f t="shared" si="19"/>
        <v>0</v>
      </c>
      <c r="CV737" s="1455"/>
      <c r="CW737" s="1455"/>
      <c r="CX737" s="1455"/>
      <c r="CY737" s="1455"/>
      <c r="CZ737" s="1455">
        <f t="shared" si="20"/>
        <v>0</v>
      </c>
      <c r="DA737" s="1455"/>
      <c r="DB737" s="1455"/>
      <c r="DC737" s="1455"/>
      <c r="DD737" s="1455"/>
      <c r="DE737" s="1455">
        <f t="shared" si="21"/>
        <v>0</v>
      </c>
      <c r="DF737" s="1455"/>
      <c r="DG737" s="1455"/>
      <c r="DH737" s="1455"/>
      <c r="DI737" s="1455"/>
      <c r="DJ737" s="1455">
        <f t="shared" si="22"/>
        <v>0</v>
      </c>
      <c r="DK737" s="1455"/>
      <c r="DL737" s="1455"/>
      <c r="DM737" s="1455"/>
      <c r="DN737" s="1455"/>
      <c r="DO737" s="1455">
        <f t="shared" si="23"/>
        <v>0</v>
      </c>
      <c r="DP737" s="1455"/>
      <c r="DQ737" s="1455"/>
      <c r="DR737" s="1455"/>
      <c r="DS737" s="1455"/>
      <c r="DT737" s="6"/>
      <c r="DU737" s="1456">
        <f t="shared" si="24"/>
        <v>0</v>
      </c>
      <c r="DV737" s="1456"/>
      <c r="DW737" s="1456"/>
      <c r="DX737" s="1456"/>
      <c r="DY737" s="1456"/>
      <c r="DZ737" s="1456">
        <f t="shared" si="25"/>
        <v>0</v>
      </c>
      <c r="EA737" s="1456"/>
      <c r="EB737" s="1456"/>
      <c r="EC737" s="1456"/>
      <c r="ED737" s="1456"/>
      <c r="EE737" s="1456">
        <f t="shared" si="26"/>
        <v>0</v>
      </c>
      <c r="EF737" s="1456"/>
      <c r="EG737" s="1456"/>
      <c r="EH737" s="1456"/>
      <c r="EI737" s="1456"/>
      <c r="EJ737" s="1456">
        <f t="shared" si="27"/>
        <v>0</v>
      </c>
      <c r="EK737" s="1456"/>
      <c r="EL737" s="1456"/>
      <c r="EM737" s="1456"/>
      <c r="EN737" s="1456"/>
      <c r="EO737" s="1456">
        <f t="shared" si="28"/>
        <v>0</v>
      </c>
      <c r="EP737" s="1456"/>
      <c r="EQ737" s="1456"/>
      <c r="ER737" s="1456"/>
      <c r="ES737" s="1456"/>
      <c r="ET737" s="1456">
        <f t="shared" si="29"/>
        <v>0</v>
      </c>
      <c r="EU737" s="1456"/>
      <c r="EV737" s="1456"/>
      <c r="EW737" s="1456"/>
      <c r="EX737" s="1456"/>
      <c r="EZ737" s="1468" t="str">
        <f t="shared" si="30"/>
        <v/>
      </c>
      <c r="FA737" s="1469"/>
      <c r="FB737" s="1469"/>
      <c r="FC737" s="1469"/>
      <c r="FD737" s="1470"/>
      <c r="FE737" s="1468" t="str">
        <f t="shared" si="31"/>
        <v/>
      </c>
      <c r="FF737" s="1469"/>
      <c r="FG737" s="1469"/>
      <c r="FH737" s="1469"/>
      <c r="FI737" s="1470"/>
      <c r="FJ737" s="1468" t="str">
        <f t="shared" si="32"/>
        <v/>
      </c>
      <c r="FK737" s="1469"/>
      <c r="FL737" s="1469"/>
      <c r="FM737" s="1469"/>
      <c r="FN737" s="1470"/>
      <c r="FO737" s="1468" t="str">
        <f t="shared" si="33"/>
        <v/>
      </c>
      <c r="FP737" s="1469"/>
      <c r="FQ737" s="1469"/>
      <c r="FR737" s="1469"/>
      <c r="FS737" s="1470"/>
      <c r="FT737" s="1468" t="str">
        <f t="shared" si="34"/>
        <v/>
      </c>
      <c r="FU737" s="1469"/>
      <c r="FV737" s="1469"/>
      <c r="FW737" s="1469"/>
      <c r="FX737" s="1470"/>
      <c r="FY737" s="1468" t="str">
        <f t="shared" si="35"/>
        <v/>
      </c>
      <c r="FZ737" s="1469"/>
      <c r="GA737" s="1469"/>
      <c r="GB737" s="1469"/>
      <c r="GC737" s="1470"/>
    </row>
    <row r="738" spans="1:185" ht="12.95" customHeight="1">
      <c r="B738" s="1382"/>
      <c r="C738" s="1383"/>
      <c r="D738" s="1383"/>
      <c r="E738" s="1383"/>
      <c r="F738" s="1384"/>
      <c r="G738" s="1341"/>
      <c r="H738" s="1342"/>
      <c r="I738" s="1342"/>
      <c r="J738" s="1343"/>
      <c r="K738" s="1347"/>
      <c r="L738" s="1348"/>
      <c r="M738" s="1348"/>
      <c r="N738" s="1349"/>
      <c r="O738" s="1344"/>
      <c r="P738" s="1345"/>
      <c r="Q738" s="1345"/>
      <c r="R738" s="1345"/>
      <c r="S738" s="1346"/>
      <c r="T738" s="1344"/>
      <c r="U738" s="1345"/>
      <c r="V738" s="1345"/>
      <c r="W738" s="1346"/>
      <c r="X738" s="1496">
        <f t="shared" si="8"/>
        <v>0</v>
      </c>
      <c r="Y738" s="1433"/>
      <c r="Z738" s="1433"/>
      <c r="AA738" s="1433"/>
      <c r="AB738" s="1497"/>
      <c r="AC738" s="1351"/>
      <c r="AD738" s="1352"/>
      <c r="AE738" s="1352"/>
      <c r="AF738" s="1352"/>
      <c r="AG738" s="1353"/>
      <c r="AH738" s="1338" t="str">
        <f t="shared" si="36"/>
        <v/>
      </c>
      <c r="AI738" s="1339"/>
      <c r="AJ738" s="1340"/>
      <c r="AK738" s="1382" t="s">
        <v>590</v>
      </c>
      <c r="AL738" s="1383"/>
      <c r="AM738" s="1383"/>
      <c r="AN738" s="1383"/>
      <c r="AO738" s="1384"/>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8">
        <f t="shared" si="37"/>
        <v>0</v>
      </c>
      <c r="CH738" s="1470"/>
      <c r="CI738" s="1480">
        <f t="shared" si="38"/>
        <v>0</v>
      </c>
      <c r="CJ738" s="1481"/>
      <c r="CK738" s="1468">
        <f t="shared" si="16"/>
        <v>0</v>
      </c>
      <c r="CL738" s="1470"/>
      <c r="CM738" s="1480">
        <f t="shared" si="17"/>
        <v>0</v>
      </c>
      <c r="CN738" s="1481"/>
      <c r="CO738" s="3"/>
      <c r="CP738" s="1472">
        <f t="shared" si="18"/>
        <v>0</v>
      </c>
      <c r="CQ738" s="1473"/>
      <c r="CR738" s="1473"/>
      <c r="CS738" s="1473"/>
      <c r="CT738" s="1474"/>
      <c r="CU738" s="1455">
        <f t="shared" si="19"/>
        <v>0</v>
      </c>
      <c r="CV738" s="1455"/>
      <c r="CW738" s="1455"/>
      <c r="CX738" s="1455"/>
      <c r="CY738" s="1455"/>
      <c r="CZ738" s="1455">
        <f t="shared" si="20"/>
        <v>0</v>
      </c>
      <c r="DA738" s="1455"/>
      <c r="DB738" s="1455"/>
      <c r="DC738" s="1455"/>
      <c r="DD738" s="1455"/>
      <c r="DE738" s="1455">
        <f t="shared" si="21"/>
        <v>0</v>
      </c>
      <c r="DF738" s="1455"/>
      <c r="DG738" s="1455"/>
      <c r="DH738" s="1455"/>
      <c r="DI738" s="1455"/>
      <c r="DJ738" s="1455">
        <f t="shared" si="22"/>
        <v>0</v>
      </c>
      <c r="DK738" s="1455"/>
      <c r="DL738" s="1455"/>
      <c r="DM738" s="1455"/>
      <c r="DN738" s="1455"/>
      <c r="DO738" s="1455">
        <f t="shared" si="23"/>
        <v>0</v>
      </c>
      <c r="DP738" s="1455"/>
      <c r="DQ738" s="1455"/>
      <c r="DR738" s="1455"/>
      <c r="DS738" s="1455"/>
      <c r="DT738" s="6"/>
      <c r="DU738" s="1456">
        <f t="shared" si="24"/>
        <v>0</v>
      </c>
      <c r="DV738" s="1456"/>
      <c r="DW738" s="1456"/>
      <c r="DX738" s="1456"/>
      <c r="DY738" s="1456"/>
      <c r="DZ738" s="1456">
        <f t="shared" si="25"/>
        <v>0</v>
      </c>
      <c r="EA738" s="1456"/>
      <c r="EB738" s="1456"/>
      <c r="EC738" s="1456"/>
      <c r="ED738" s="1456"/>
      <c r="EE738" s="1456">
        <f t="shared" si="26"/>
        <v>0</v>
      </c>
      <c r="EF738" s="1456"/>
      <c r="EG738" s="1456"/>
      <c r="EH738" s="1456"/>
      <c r="EI738" s="1456"/>
      <c r="EJ738" s="1456">
        <f t="shared" si="27"/>
        <v>0</v>
      </c>
      <c r="EK738" s="1456"/>
      <c r="EL738" s="1456"/>
      <c r="EM738" s="1456"/>
      <c r="EN738" s="1456"/>
      <c r="EO738" s="1456">
        <f t="shared" si="28"/>
        <v>0</v>
      </c>
      <c r="EP738" s="1456"/>
      <c r="EQ738" s="1456"/>
      <c r="ER738" s="1456"/>
      <c r="ES738" s="1456"/>
      <c r="ET738" s="1456">
        <f t="shared" si="29"/>
        <v>0</v>
      </c>
      <c r="EU738" s="1456"/>
      <c r="EV738" s="1456"/>
      <c r="EW738" s="1456"/>
      <c r="EX738" s="1456"/>
      <c r="EZ738" s="1468" t="str">
        <f t="shared" si="30"/>
        <v/>
      </c>
      <c r="FA738" s="1469"/>
      <c r="FB738" s="1469"/>
      <c r="FC738" s="1469"/>
      <c r="FD738" s="1470"/>
      <c r="FE738" s="1468" t="str">
        <f t="shared" si="31"/>
        <v/>
      </c>
      <c r="FF738" s="1469"/>
      <c r="FG738" s="1469"/>
      <c r="FH738" s="1469"/>
      <c r="FI738" s="1470"/>
      <c r="FJ738" s="1468" t="str">
        <f t="shared" si="32"/>
        <v/>
      </c>
      <c r="FK738" s="1469"/>
      <c r="FL738" s="1469"/>
      <c r="FM738" s="1469"/>
      <c r="FN738" s="1470"/>
      <c r="FO738" s="1468" t="str">
        <f t="shared" si="33"/>
        <v/>
      </c>
      <c r="FP738" s="1469"/>
      <c r="FQ738" s="1469"/>
      <c r="FR738" s="1469"/>
      <c r="FS738" s="1470"/>
      <c r="FT738" s="1468" t="str">
        <f t="shared" si="34"/>
        <v/>
      </c>
      <c r="FU738" s="1469"/>
      <c r="FV738" s="1469"/>
      <c r="FW738" s="1469"/>
      <c r="FX738" s="1470"/>
      <c r="FY738" s="1468" t="str">
        <f t="shared" si="35"/>
        <v/>
      </c>
      <c r="FZ738" s="1469"/>
      <c r="GA738" s="1469"/>
      <c r="GB738" s="1469"/>
      <c r="GC738" s="1470"/>
    </row>
    <row r="739" spans="1:185" ht="12.95" customHeight="1">
      <c r="B739" s="1382"/>
      <c r="C739" s="1383"/>
      <c r="D739" s="1383"/>
      <c r="E739" s="1383"/>
      <c r="F739" s="1384"/>
      <c r="G739" s="1341"/>
      <c r="H739" s="1342"/>
      <c r="I739" s="1342"/>
      <c r="J739" s="1343"/>
      <c r="K739" s="1347"/>
      <c r="L739" s="1348"/>
      <c r="M739" s="1348"/>
      <c r="N739" s="1349"/>
      <c r="O739" s="1344"/>
      <c r="P739" s="1345"/>
      <c r="Q739" s="1345"/>
      <c r="R739" s="1345"/>
      <c r="S739" s="1346"/>
      <c r="T739" s="1344"/>
      <c r="U739" s="1345"/>
      <c r="V739" s="1345"/>
      <c r="W739" s="1346"/>
      <c r="X739" s="1496">
        <f t="shared" si="8"/>
        <v>0</v>
      </c>
      <c r="Y739" s="1433"/>
      <c r="Z739" s="1433"/>
      <c r="AA739" s="1433"/>
      <c r="AB739" s="1497"/>
      <c r="AC739" s="1351"/>
      <c r="AD739" s="1352"/>
      <c r="AE739" s="1352"/>
      <c r="AF739" s="1352"/>
      <c r="AG739" s="1353"/>
      <c r="AH739" s="1338" t="str">
        <f t="shared" si="36"/>
        <v/>
      </c>
      <c r="AI739" s="1339"/>
      <c r="AJ739" s="1340"/>
      <c r="AK739" s="1382" t="s">
        <v>590</v>
      </c>
      <c r="AL739" s="1383"/>
      <c r="AM739" s="1383"/>
      <c r="AN739" s="1383"/>
      <c r="AO739" s="1384"/>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8">
        <f t="shared" si="37"/>
        <v>0</v>
      </c>
      <c r="CH739" s="1470"/>
      <c r="CI739" s="1480">
        <f t="shared" si="38"/>
        <v>0</v>
      </c>
      <c r="CJ739" s="1481"/>
      <c r="CK739" s="1468">
        <f t="shared" si="16"/>
        <v>0</v>
      </c>
      <c r="CL739" s="1470"/>
      <c r="CM739" s="1480">
        <f t="shared" si="17"/>
        <v>0</v>
      </c>
      <c r="CN739" s="1481"/>
      <c r="CO739" s="3"/>
      <c r="CP739" s="1472">
        <f t="shared" si="18"/>
        <v>0</v>
      </c>
      <c r="CQ739" s="1473"/>
      <c r="CR739" s="1473"/>
      <c r="CS739" s="1473"/>
      <c r="CT739" s="1474"/>
      <c r="CU739" s="1455">
        <f t="shared" si="19"/>
        <v>0</v>
      </c>
      <c r="CV739" s="1455"/>
      <c r="CW739" s="1455"/>
      <c r="CX739" s="1455"/>
      <c r="CY739" s="1455"/>
      <c r="CZ739" s="1455">
        <f t="shared" si="20"/>
        <v>0</v>
      </c>
      <c r="DA739" s="1455"/>
      <c r="DB739" s="1455"/>
      <c r="DC739" s="1455"/>
      <c r="DD739" s="1455"/>
      <c r="DE739" s="1455">
        <f t="shared" si="21"/>
        <v>0</v>
      </c>
      <c r="DF739" s="1455"/>
      <c r="DG739" s="1455"/>
      <c r="DH739" s="1455"/>
      <c r="DI739" s="1455"/>
      <c r="DJ739" s="1455">
        <f t="shared" si="22"/>
        <v>0</v>
      </c>
      <c r="DK739" s="1455"/>
      <c r="DL739" s="1455"/>
      <c r="DM739" s="1455"/>
      <c r="DN739" s="1455"/>
      <c r="DO739" s="1455">
        <f t="shared" si="23"/>
        <v>0</v>
      </c>
      <c r="DP739" s="1455"/>
      <c r="DQ739" s="1455"/>
      <c r="DR739" s="1455"/>
      <c r="DS739" s="1455"/>
      <c r="DT739" s="6"/>
      <c r="DU739" s="1456">
        <f t="shared" si="24"/>
        <v>0</v>
      </c>
      <c r="DV739" s="1456"/>
      <c r="DW739" s="1456"/>
      <c r="DX739" s="1456"/>
      <c r="DY739" s="1456"/>
      <c r="DZ739" s="1456">
        <f t="shared" si="25"/>
        <v>0</v>
      </c>
      <c r="EA739" s="1456"/>
      <c r="EB739" s="1456"/>
      <c r="EC739" s="1456"/>
      <c r="ED739" s="1456"/>
      <c r="EE739" s="1456">
        <f t="shared" si="26"/>
        <v>0</v>
      </c>
      <c r="EF739" s="1456"/>
      <c r="EG739" s="1456"/>
      <c r="EH739" s="1456"/>
      <c r="EI739" s="1456"/>
      <c r="EJ739" s="1456">
        <f t="shared" si="27"/>
        <v>0</v>
      </c>
      <c r="EK739" s="1456"/>
      <c r="EL739" s="1456"/>
      <c r="EM739" s="1456"/>
      <c r="EN739" s="1456"/>
      <c r="EO739" s="1456">
        <f t="shared" si="28"/>
        <v>0</v>
      </c>
      <c r="EP739" s="1456"/>
      <c r="EQ739" s="1456"/>
      <c r="ER739" s="1456"/>
      <c r="ES739" s="1456"/>
      <c r="ET739" s="1456">
        <f t="shared" si="29"/>
        <v>0</v>
      </c>
      <c r="EU739" s="1456"/>
      <c r="EV739" s="1456"/>
      <c r="EW739" s="1456"/>
      <c r="EX739" s="1456"/>
      <c r="EZ739" s="1468" t="str">
        <f t="shared" si="30"/>
        <v/>
      </c>
      <c r="FA739" s="1469"/>
      <c r="FB739" s="1469"/>
      <c r="FC739" s="1469"/>
      <c r="FD739" s="1470"/>
      <c r="FE739" s="1468" t="str">
        <f t="shared" si="31"/>
        <v/>
      </c>
      <c r="FF739" s="1469"/>
      <c r="FG739" s="1469"/>
      <c r="FH739" s="1469"/>
      <c r="FI739" s="1470"/>
      <c r="FJ739" s="1468" t="str">
        <f t="shared" si="32"/>
        <v/>
      </c>
      <c r="FK739" s="1469"/>
      <c r="FL739" s="1469"/>
      <c r="FM739" s="1469"/>
      <c r="FN739" s="1470"/>
      <c r="FO739" s="1468" t="str">
        <f t="shared" si="33"/>
        <v/>
      </c>
      <c r="FP739" s="1469"/>
      <c r="FQ739" s="1469"/>
      <c r="FR739" s="1469"/>
      <c r="FS739" s="1470"/>
      <c r="FT739" s="1468" t="str">
        <f t="shared" si="34"/>
        <v/>
      </c>
      <c r="FU739" s="1469"/>
      <c r="FV739" s="1469"/>
      <c r="FW739" s="1469"/>
      <c r="FX739" s="1470"/>
      <c r="FY739" s="1468" t="str">
        <f t="shared" si="35"/>
        <v/>
      </c>
      <c r="FZ739" s="1469"/>
      <c r="GA739" s="1469"/>
      <c r="GB739" s="1469"/>
      <c r="GC739" s="1470"/>
    </row>
    <row r="740" spans="1:185" ht="12.95" customHeight="1">
      <c r="B740" s="1382"/>
      <c r="C740" s="1383"/>
      <c r="D740" s="1383"/>
      <c r="E740" s="1383"/>
      <c r="F740" s="1384"/>
      <c r="G740" s="1341"/>
      <c r="H740" s="1342"/>
      <c r="I740" s="1342"/>
      <c r="J740" s="1343"/>
      <c r="K740" s="1347"/>
      <c r="L740" s="1348"/>
      <c r="M740" s="1348"/>
      <c r="N740" s="1349"/>
      <c r="O740" s="1344"/>
      <c r="P740" s="1345"/>
      <c r="Q740" s="1345"/>
      <c r="R740" s="1345"/>
      <c r="S740" s="1346"/>
      <c r="T740" s="1344"/>
      <c r="U740" s="1345"/>
      <c r="V740" s="1345"/>
      <c r="W740" s="1346"/>
      <c r="X740" s="1496">
        <f t="shared" si="8"/>
        <v>0</v>
      </c>
      <c r="Y740" s="1433"/>
      <c r="Z740" s="1433"/>
      <c r="AA740" s="1433"/>
      <c r="AB740" s="1497"/>
      <c r="AC740" s="1351"/>
      <c r="AD740" s="1352"/>
      <c r="AE740" s="1352"/>
      <c r="AF740" s="1352"/>
      <c r="AG740" s="1353"/>
      <c r="AH740" s="1338" t="str">
        <f t="shared" si="36"/>
        <v/>
      </c>
      <c r="AI740" s="1339"/>
      <c r="AJ740" s="1340"/>
      <c r="AK740" s="1382" t="s">
        <v>590</v>
      </c>
      <c r="AL740" s="1383"/>
      <c r="AM740" s="1383"/>
      <c r="AN740" s="1383"/>
      <c r="AO740" s="1384"/>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8">
        <f t="shared" si="37"/>
        <v>0</v>
      </c>
      <c r="CH740" s="1470"/>
      <c r="CI740" s="1480">
        <f t="shared" si="38"/>
        <v>0</v>
      </c>
      <c r="CJ740" s="1481"/>
      <c r="CK740" s="1468">
        <f t="shared" si="16"/>
        <v>0</v>
      </c>
      <c r="CL740" s="1470"/>
      <c r="CM740" s="1480">
        <f t="shared" si="17"/>
        <v>0</v>
      </c>
      <c r="CN740" s="1481"/>
      <c r="CO740" s="3"/>
      <c r="CP740" s="1472">
        <f t="shared" si="18"/>
        <v>0</v>
      </c>
      <c r="CQ740" s="1473"/>
      <c r="CR740" s="1473"/>
      <c r="CS740" s="1473"/>
      <c r="CT740" s="1474"/>
      <c r="CU740" s="1455">
        <f t="shared" si="19"/>
        <v>0</v>
      </c>
      <c r="CV740" s="1455"/>
      <c r="CW740" s="1455"/>
      <c r="CX740" s="1455"/>
      <c r="CY740" s="1455"/>
      <c r="CZ740" s="1455">
        <f t="shared" si="20"/>
        <v>0</v>
      </c>
      <c r="DA740" s="1455"/>
      <c r="DB740" s="1455"/>
      <c r="DC740" s="1455"/>
      <c r="DD740" s="1455"/>
      <c r="DE740" s="1455">
        <f t="shared" si="21"/>
        <v>0</v>
      </c>
      <c r="DF740" s="1455"/>
      <c r="DG740" s="1455"/>
      <c r="DH740" s="1455"/>
      <c r="DI740" s="1455"/>
      <c r="DJ740" s="1455">
        <f t="shared" si="22"/>
        <v>0</v>
      </c>
      <c r="DK740" s="1455"/>
      <c r="DL740" s="1455"/>
      <c r="DM740" s="1455"/>
      <c r="DN740" s="1455"/>
      <c r="DO740" s="1455">
        <f t="shared" si="23"/>
        <v>0</v>
      </c>
      <c r="DP740" s="1455"/>
      <c r="DQ740" s="1455"/>
      <c r="DR740" s="1455"/>
      <c r="DS740" s="1455"/>
      <c r="DT740" s="6"/>
      <c r="DU740" s="1456">
        <f t="shared" si="24"/>
        <v>0</v>
      </c>
      <c r="DV740" s="1456"/>
      <c r="DW740" s="1456"/>
      <c r="DX740" s="1456"/>
      <c r="DY740" s="1456"/>
      <c r="DZ740" s="1456">
        <f t="shared" si="25"/>
        <v>0</v>
      </c>
      <c r="EA740" s="1456"/>
      <c r="EB740" s="1456"/>
      <c r="EC740" s="1456"/>
      <c r="ED740" s="1456"/>
      <c r="EE740" s="1456">
        <f t="shared" si="26"/>
        <v>0</v>
      </c>
      <c r="EF740" s="1456"/>
      <c r="EG740" s="1456"/>
      <c r="EH740" s="1456"/>
      <c r="EI740" s="1456"/>
      <c r="EJ740" s="1456">
        <f t="shared" si="27"/>
        <v>0</v>
      </c>
      <c r="EK740" s="1456"/>
      <c r="EL740" s="1456"/>
      <c r="EM740" s="1456"/>
      <c r="EN740" s="1456"/>
      <c r="EO740" s="1456">
        <f t="shared" si="28"/>
        <v>0</v>
      </c>
      <c r="EP740" s="1456"/>
      <c r="EQ740" s="1456"/>
      <c r="ER740" s="1456"/>
      <c r="ES740" s="1456"/>
      <c r="ET740" s="1456">
        <f t="shared" si="29"/>
        <v>0</v>
      </c>
      <c r="EU740" s="1456"/>
      <c r="EV740" s="1456"/>
      <c r="EW740" s="1456"/>
      <c r="EX740" s="1456"/>
      <c r="EZ740" s="1468" t="str">
        <f t="shared" si="30"/>
        <v/>
      </c>
      <c r="FA740" s="1469"/>
      <c r="FB740" s="1469"/>
      <c r="FC740" s="1469"/>
      <c r="FD740" s="1470"/>
      <c r="FE740" s="1468" t="str">
        <f t="shared" si="31"/>
        <v/>
      </c>
      <c r="FF740" s="1469"/>
      <c r="FG740" s="1469"/>
      <c r="FH740" s="1469"/>
      <c r="FI740" s="1470"/>
      <c r="FJ740" s="1468" t="str">
        <f t="shared" si="32"/>
        <v/>
      </c>
      <c r="FK740" s="1469"/>
      <c r="FL740" s="1469"/>
      <c r="FM740" s="1469"/>
      <c r="FN740" s="1470"/>
      <c r="FO740" s="1468" t="str">
        <f t="shared" si="33"/>
        <v/>
      </c>
      <c r="FP740" s="1469"/>
      <c r="FQ740" s="1469"/>
      <c r="FR740" s="1469"/>
      <c r="FS740" s="1470"/>
      <c r="FT740" s="1468" t="str">
        <f t="shared" si="34"/>
        <v/>
      </c>
      <c r="FU740" s="1469"/>
      <c r="FV740" s="1469"/>
      <c r="FW740" s="1469"/>
      <c r="FX740" s="1470"/>
      <c r="FY740" s="1468" t="str">
        <f t="shared" si="35"/>
        <v/>
      </c>
      <c r="FZ740" s="1469"/>
      <c r="GA740" s="1469"/>
      <c r="GB740" s="1469"/>
      <c r="GC740" s="1470"/>
    </row>
    <row r="741" spans="1:185" ht="12.95" customHeight="1">
      <c r="B741" s="1382"/>
      <c r="C741" s="1383"/>
      <c r="D741" s="1383"/>
      <c r="E741" s="1383"/>
      <c r="F741" s="1384"/>
      <c r="G741" s="1341"/>
      <c r="H741" s="1342"/>
      <c r="I741" s="1342"/>
      <c r="J741" s="1343"/>
      <c r="K741" s="1347"/>
      <c r="L741" s="1348"/>
      <c r="M741" s="1348"/>
      <c r="N741" s="1349"/>
      <c r="O741" s="1344"/>
      <c r="P741" s="1345"/>
      <c r="Q741" s="1345"/>
      <c r="R741" s="1345"/>
      <c r="S741" s="1346"/>
      <c r="T741" s="1344"/>
      <c r="U741" s="1345"/>
      <c r="V741" s="1345"/>
      <c r="W741" s="1346"/>
      <c r="X741" s="1496">
        <f t="shared" si="8"/>
        <v>0</v>
      </c>
      <c r="Y741" s="1433"/>
      <c r="Z741" s="1433"/>
      <c r="AA741" s="1433"/>
      <c r="AB741" s="1497"/>
      <c r="AC741" s="1351"/>
      <c r="AD741" s="1352"/>
      <c r="AE741" s="1352"/>
      <c r="AF741" s="1352"/>
      <c r="AG741" s="1353"/>
      <c r="AH741" s="1338" t="str">
        <f t="shared" si="36"/>
        <v/>
      </c>
      <c r="AI741" s="1339"/>
      <c r="AJ741" s="1340"/>
      <c r="AK741" s="1382" t="s">
        <v>590</v>
      </c>
      <c r="AL741" s="1383"/>
      <c r="AM741" s="1383"/>
      <c r="AN741" s="1383"/>
      <c r="AO741" s="1384"/>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8">
        <f t="shared" si="37"/>
        <v>0</v>
      </c>
      <c r="CH741" s="1470"/>
      <c r="CI741" s="1480">
        <f t="shared" si="38"/>
        <v>0</v>
      </c>
      <c r="CJ741" s="1481"/>
      <c r="CK741" s="1468">
        <f t="shared" si="16"/>
        <v>0</v>
      </c>
      <c r="CL741" s="1470"/>
      <c r="CM741" s="1480">
        <f t="shared" si="17"/>
        <v>0</v>
      </c>
      <c r="CN741" s="1481"/>
      <c r="CO741" s="3"/>
      <c r="CP741" s="1472">
        <f t="shared" si="18"/>
        <v>0</v>
      </c>
      <c r="CQ741" s="1473"/>
      <c r="CR741" s="1473"/>
      <c r="CS741" s="1473"/>
      <c r="CT741" s="1474"/>
      <c r="CU741" s="1455">
        <f t="shared" si="19"/>
        <v>0</v>
      </c>
      <c r="CV741" s="1455"/>
      <c r="CW741" s="1455"/>
      <c r="CX741" s="1455"/>
      <c r="CY741" s="1455"/>
      <c r="CZ741" s="1455">
        <f t="shared" si="20"/>
        <v>0</v>
      </c>
      <c r="DA741" s="1455"/>
      <c r="DB741" s="1455"/>
      <c r="DC741" s="1455"/>
      <c r="DD741" s="1455"/>
      <c r="DE741" s="1455">
        <f t="shared" si="21"/>
        <v>0</v>
      </c>
      <c r="DF741" s="1455"/>
      <c r="DG741" s="1455"/>
      <c r="DH741" s="1455"/>
      <c r="DI741" s="1455"/>
      <c r="DJ741" s="1455">
        <f t="shared" si="22"/>
        <v>0</v>
      </c>
      <c r="DK741" s="1455"/>
      <c r="DL741" s="1455"/>
      <c r="DM741" s="1455"/>
      <c r="DN741" s="1455"/>
      <c r="DO741" s="1455">
        <f t="shared" si="23"/>
        <v>0</v>
      </c>
      <c r="DP741" s="1455"/>
      <c r="DQ741" s="1455"/>
      <c r="DR741" s="1455"/>
      <c r="DS741" s="1455"/>
      <c r="DT741" s="6"/>
      <c r="DU741" s="1456">
        <f t="shared" si="24"/>
        <v>0</v>
      </c>
      <c r="DV741" s="1456"/>
      <c r="DW741" s="1456"/>
      <c r="DX741" s="1456"/>
      <c r="DY741" s="1456"/>
      <c r="DZ741" s="1456">
        <f t="shared" si="25"/>
        <v>0</v>
      </c>
      <c r="EA741" s="1456"/>
      <c r="EB741" s="1456"/>
      <c r="EC741" s="1456"/>
      <c r="ED741" s="1456"/>
      <c r="EE741" s="1456">
        <f t="shared" si="26"/>
        <v>0</v>
      </c>
      <c r="EF741" s="1456"/>
      <c r="EG741" s="1456"/>
      <c r="EH741" s="1456"/>
      <c r="EI741" s="1456"/>
      <c r="EJ741" s="1456">
        <f t="shared" si="27"/>
        <v>0</v>
      </c>
      <c r="EK741" s="1456"/>
      <c r="EL741" s="1456"/>
      <c r="EM741" s="1456"/>
      <c r="EN741" s="1456"/>
      <c r="EO741" s="1456">
        <f t="shared" si="28"/>
        <v>0</v>
      </c>
      <c r="EP741" s="1456"/>
      <c r="EQ741" s="1456"/>
      <c r="ER741" s="1456"/>
      <c r="ES741" s="1456"/>
      <c r="ET741" s="1456">
        <f t="shared" si="29"/>
        <v>0</v>
      </c>
      <c r="EU741" s="1456"/>
      <c r="EV741" s="1456"/>
      <c r="EW741" s="1456"/>
      <c r="EX741" s="1456"/>
      <c r="EZ741" s="1468" t="str">
        <f t="shared" si="30"/>
        <v/>
      </c>
      <c r="FA741" s="1469"/>
      <c r="FB741" s="1469"/>
      <c r="FC741" s="1469"/>
      <c r="FD741" s="1470"/>
      <c r="FE741" s="1468" t="str">
        <f t="shared" si="31"/>
        <v/>
      </c>
      <c r="FF741" s="1469"/>
      <c r="FG741" s="1469"/>
      <c r="FH741" s="1469"/>
      <c r="FI741" s="1470"/>
      <c r="FJ741" s="1468" t="str">
        <f t="shared" si="32"/>
        <v/>
      </c>
      <c r="FK741" s="1469"/>
      <c r="FL741" s="1469"/>
      <c r="FM741" s="1469"/>
      <c r="FN741" s="1470"/>
      <c r="FO741" s="1468" t="str">
        <f t="shared" si="33"/>
        <v/>
      </c>
      <c r="FP741" s="1469"/>
      <c r="FQ741" s="1469"/>
      <c r="FR741" s="1469"/>
      <c r="FS741" s="1470"/>
      <c r="FT741" s="1468" t="str">
        <f t="shared" si="34"/>
        <v/>
      </c>
      <c r="FU741" s="1469"/>
      <c r="FV741" s="1469"/>
      <c r="FW741" s="1469"/>
      <c r="FX741" s="1470"/>
      <c r="FY741" s="1468" t="str">
        <f t="shared" si="35"/>
        <v/>
      </c>
      <c r="FZ741" s="1469"/>
      <c r="GA741" s="1469"/>
      <c r="GB741" s="1469"/>
      <c r="GC741" s="1470"/>
    </row>
    <row r="742" spans="1:185" ht="12.95" customHeight="1">
      <c r="B742" s="1382"/>
      <c r="C742" s="1383"/>
      <c r="D742" s="1383"/>
      <c r="E742" s="1383"/>
      <c r="F742" s="1384"/>
      <c r="G742" s="1341"/>
      <c r="H742" s="1342"/>
      <c r="I742" s="1342"/>
      <c r="J742" s="1343"/>
      <c r="K742" s="1347"/>
      <c r="L742" s="1348"/>
      <c r="M742" s="1348"/>
      <c r="N742" s="1349"/>
      <c r="O742" s="1344"/>
      <c r="P742" s="1345"/>
      <c r="Q742" s="1345"/>
      <c r="R742" s="1345"/>
      <c r="S742" s="1346"/>
      <c r="T742" s="1344"/>
      <c r="U742" s="1345"/>
      <c r="V742" s="1345"/>
      <c r="W742" s="1346"/>
      <c r="X742" s="1496">
        <f t="shared" ref="X742:X751" si="39">O742+T742</f>
        <v>0</v>
      </c>
      <c r="Y742" s="1433"/>
      <c r="Z742" s="1433"/>
      <c r="AA742" s="1433"/>
      <c r="AB742" s="1497"/>
      <c r="AC742" s="1351"/>
      <c r="AD742" s="1352"/>
      <c r="AE742" s="1352"/>
      <c r="AF742" s="1352"/>
      <c r="AG742" s="1353"/>
      <c r="AH742" s="1338" t="str">
        <f t="shared" si="36"/>
        <v/>
      </c>
      <c r="AI742" s="1339"/>
      <c r="AJ742" s="1340"/>
      <c r="AK742" s="1382" t="s">
        <v>590</v>
      </c>
      <c r="AL742" s="1383"/>
      <c r="AM742" s="1383"/>
      <c r="AN742" s="1383"/>
      <c r="AO742" s="1384"/>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8">
        <f t="shared" si="37"/>
        <v>0</v>
      </c>
      <c r="CH742" s="1470"/>
      <c r="CI742" s="1480">
        <f t="shared" si="38"/>
        <v>0</v>
      </c>
      <c r="CJ742" s="1481"/>
      <c r="CK742" s="1468">
        <f t="shared" si="16"/>
        <v>0</v>
      </c>
      <c r="CL742" s="1470"/>
      <c r="CM742" s="1480">
        <f t="shared" si="17"/>
        <v>0</v>
      </c>
      <c r="CN742" s="1481"/>
      <c r="CO742" s="3"/>
      <c r="CP742" s="1472">
        <f t="shared" si="18"/>
        <v>0</v>
      </c>
      <c r="CQ742" s="1473"/>
      <c r="CR742" s="1473"/>
      <c r="CS742" s="1473"/>
      <c r="CT742" s="1474"/>
      <c r="CU742" s="1455">
        <f t="shared" si="19"/>
        <v>0</v>
      </c>
      <c r="CV742" s="1455"/>
      <c r="CW742" s="1455"/>
      <c r="CX742" s="1455"/>
      <c r="CY742" s="1455"/>
      <c r="CZ742" s="1455">
        <f t="shared" si="20"/>
        <v>0</v>
      </c>
      <c r="DA742" s="1455"/>
      <c r="DB742" s="1455"/>
      <c r="DC742" s="1455"/>
      <c r="DD742" s="1455"/>
      <c r="DE742" s="1455">
        <f t="shared" si="21"/>
        <v>0</v>
      </c>
      <c r="DF742" s="1455"/>
      <c r="DG742" s="1455"/>
      <c r="DH742" s="1455"/>
      <c r="DI742" s="1455"/>
      <c r="DJ742" s="1455">
        <f t="shared" si="22"/>
        <v>0</v>
      </c>
      <c r="DK742" s="1455"/>
      <c r="DL742" s="1455"/>
      <c r="DM742" s="1455"/>
      <c r="DN742" s="1455"/>
      <c r="DO742" s="1455">
        <f t="shared" si="23"/>
        <v>0</v>
      </c>
      <c r="DP742" s="1455"/>
      <c r="DQ742" s="1455"/>
      <c r="DR742" s="1455"/>
      <c r="DS742" s="1455"/>
      <c r="DT742" s="6"/>
      <c r="DU742" s="1456">
        <f t="shared" si="24"/>
        <v>0</v>
      </c>
      <c r="DV742" s="1456"/>
      <c r="DW742" s="1456"/>
      <c r="DX742" s="1456"/>
      <c r="DY742" s="1456"/>
      <c r="DZ742" s="1456">
        <f t="shared" si="25"/>
        <v>0</v>
      </c>
      <c r="EA742" s="1456"/>
      <c r="EB742" s="1456"/>
      <c r="EC742" s="1456"/>
      <c r="ED742" s="1456"/>
      <c r="EE742" s="1456">
        <f t="shared" si="26"/>
        <v>0</v>
      </c>
      <c r="EF742" s="1456"/>
      <c r="EG742" s="1456"/>
      <c r="EH742" s="1456"/>
      <c r="EI742" s="1456"/>
      <c r="EJ742" s="1456">
        <f t="shared" si="27"/>
        <v>0</v>
      </c>
      <c r="EK742" s="1456"/>
      <c r="EL742" s="1456"/>
      <c r="EM742" s="1456"/>
      <c r="EN742" s="1456"/>
      <c r="EO742" s="1456">
        <f t="shared" si="28"/>
        <v>0</v>
      </c>
      <c r="EP742" s="1456"/>
      <c r="EQ742" s="1456"/>
      <c r="ER742" s="1456"/>
      <c r="ES742" s="1456"/>
      <c r="ET742" s="1456">
        <f t="shared" si="29"/>
        <v>0</v>
      </c>
      <c r="EU742" s="1456"/>
      <c r="EV742" s="1456"/>
      <c r="EW742" s="1456"/>
      <c r="EX742" s="1456"/>
      <c r="EZ742" s="1468" t="str">
        <f t="shared" si="30"/>
        <v/>
      </c>
      <c r="FA742" s="1469"/>
      <c r="FB742" s="1469"/>
      <c r="FC742" s="1469"/>
      <c r="FD742" s="1470"/>
      <c r="FE742" s="1468" t="str">
        <f t="shared" si="31"/>
        <v/>
      </c>
      <c r="FF742" s="1469"/>
      <c r="FG742" s="1469"/>
      <c r="FH742" s="1469"/>
      <c r="FI742" s="1470"/>
      <c r="FJ742" s="1468" t="str">
        <f t="shared" si="32"/>
        <v/>
      </c>
      <c r="FK742" s="1469"/>
      <c r="FL742" s="1469"/>
      <c r="FM742" s="1469"/>
      <c r="FN742" s="1470"/>
      <c r="FO742" s="1468" t="str">
        <f t="shared" si="33"/>
        <v/>
      </c>
      <c r="FP742" s="1469"/>
      <c r="FQ742" s="1469"/>
      <c r="FR742" s="1469"/>
      <c r="FS742" s="1470"/>
      <c r="FT742" s="1468" t="str">
        <f t="shared" si="34"/>
        <v/>
      </c>
      <c r="FU742" s="1469"/>
      <c r="FV742" s="1469"/>
      <c r="FW742" s="1469"/>
      <c r="FX742" s="1470"/>
      <c r="FY742" s="1468" t="str">
        <f t="shared" si="35"/>
        <v/>
      </c>
      <c r="FZ742" s="1469"/>
      <c r="GA742" s="1469"/>
      <c r="GB742" s="1469"/>
      <c r="GC742" s="1470"/>
    </row>
    <row r="743" spans="1:185" s="3" customFormat="1" ht="12.95" customHeight="1">
      <c r="A743"/>
      <c r="B743" s="1382"/>
      <c r="C743" s="1383"/>
      <c r="D743" s="1383"/>
      <c r="E743" s="1383"/>
      <c r="F743" s="1384"/>
      <c r="G743" s="1341"/>
      <c r="H743" s="1342"/>
      <c r="I743" s="1342"/>
      <c r="J743" s="1343"/>
      <c r="K743" s="1347"/>
      <c r="L743" s="1348"/>
      <c r="M743" s="1348"/>
      <c r="N743" s="1349"/>
      <c r="O743" s="1344"/>
      <c r="P743" s="1345"/>
      <c r="Q743" s="1345"/>
      <c r="R743" s="1345"/>
      <c r="S743" s="1346"/>
      <c r="T743" s="1344"/>
      <c r="U743" s="1345"/>
      <c r="V743" s="1345"/>
      <c r="W743" s="1346"/>
      <c r="X743" s="1496">
        <f t="shared" si="39"/>
        <v>0</v>
      </c>
      <c r="Y743" s="1433"/>
      <c r="Z743" s="1433"/>
      <c r="AA743" s="1433"/>
      <c r="AB743" s="1497"/>
      <c r="AC743" s="1351"/>
      <c r="AD743" s="1352"/>
      <c r="AE743" s="1352"/>
      <c r="AF743" s="1352"/>
      <c r="AG743" s="1353"/>
      <c r="AH743" s="1338" t="str">
        <f t="shared" si="36"/>
        <v/>
      </c>
      <c r="AI743" s="1339"/>
      <c r="AJ743" s="1340"/>
      <c r="AK743" s="1382" t="s">
        <v>590</v>
      </c>
      <c r="AL743" s="1383"/>
      <c r="AM743" s="1383"/>
      <c r="AN743" s="1383"/>
      <c r="AO743" s="1384"/>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8">
        <f t="shared" si="37"/>
        <v>0</v>
      </c>
      <c r="CH743" s="1470"/>
      <c r="CI743" s="1480">
        <f t="shared" si="38"/>
        <v>0</v>
      </c>
      <c r="CJ743" s="1481"/>
      <c r="CK743" s="1468">
        <f t="shared" si="16"/>
        <v>0</v>
      </c>
      <c r="CL743" s="1470"/>
      <c r="CM743" s="1480">
        <f t="shared" si="17"/>
        <v>0</v>
      </c>
      <c r="CN743" s="1481"/>
      <c r="CP743" s="1472">
        <f t="shared" si="18"/>
        <v>0</v>
      </c>
      <c r="CQ743" s="1473"/>
      <c r="CR743" s="1473"/>
      <c r="CS743" s="1473"/>
      <c r="CT743" s="1474"/>
      <c r="CU743" s="1455">
        <f t="shared" si="19"/>
        <v>0</v>
      </c>
      <c r="CV743" s="1455"/>
      <c r="CW743" s="1455"/>
      <c r="CX743" s="1455"/>
      <c r="CY743" s="1455"/>
      <c r="CZ743" s="1455">
        <f t="shared" si="20"/>
        <v>0</v>
      </c>
      <c r="DA743" s="1455"/>
      <c r="DB743" s="1455"/>
      <c r="DC743" s="1455"/>
      <c r="DD743" s="1455"/>
      <c r="DE743" s="1455">
        <f t="shared" si="21"/>
        <v>0</v>
      </c>
      <c r="DF743" s="1455"/>
      <c r="DG743" s="1455"/>
      <c r="DH743" s="1455"/>
      <c r="DI743" s="1455"/>
      <c r="DJ743" s="1455">
        <f t="shared" si="22"/>
        <v>0</v>
      </c>
      <c r="DK743" s="1455"/>
      <c r="DL743" s="1455"/>
      <c r="DM743" s="1455"/>
      <c r="DN743" s="1455"/>
      <c r="DO743" s="1455">
        <f t="shared" si="23"/>
        <v>0</v>
      </c>
      <c r="DP743" s="1455"/>
      <c r="DQ743" s="1455"/>
      <c r="DR743" s="1455"/>
      <c r="DS743" s="1455"/>
      <c r="DT743" s="6"/>
      <c r="DU743" s="1456">
        <f t="shared" si="24"/>
        <v>0</v>
      </c>
      <c r="DV743" s="1456"/>
      <c r="DW743" s="1456"/>
      <c r="DX743" s="1456"/>
      <c r="DY743" s="1456"/>
      <c r="DZ743" s="1456">
        <f t="shared" si="25"/>
        <v>0</v>
      </c>
      <c r="EA743" s="1456"/>
      <c r="EB743" s="1456"/>
      <c r="EC743" s="1456"/>
      <c r="ED743" s="1456"/>
      <c r="EE743" s="1456">
        <f t="shared" si="26"/>
        <v>0</v>
      </c>
      <c r="EF743" s="1456"/>
      <c r="EG743" s="1456"/>
      <c r="EH743" s="1456"/>
      <c r="EI743" s="1456"/>
      <c r="EJ743" s="1456">
        <f t="shared" si="27"/>
        <v>0</v>
      </c>
      <c r="EK743" s="1456"/>
      <c r="EL743" s="1456"/>
      <c r="EM743" s="1456"/>
      <c r="EN743" s="1456"/>
      <c r="EO743" s="1456">
        <f t="shared" si="28"/>
        <v>0</v>
      </c>
      <c r="EP743" s="1456"/>
      <c r="EQ743" s="1456"/>
      <c r="ER743" s="1456"/>
      <c r="ES743" s="1456"/>
      <c r="ET743" s="1456">
        <f t="shared" si="29"/>
        <v>0</v>
      </c>
      <c r="EU743" s="1456"/>
      <c r="EV743" s="1456"/>
      <c r="EW743" s="1456"/>
      <c r="EX743" s="1456"/>
      <c r="EY743"/>
      <c r="EZ743" s="1468" t="str">
        <f t="shared" si="30"/>
        <v/>
      </c>
      <c r="FA743" s="1469"/>
      <c r="FB743" s="1469"/>
      <c r="FC743" s="1469"/>
      <c r="FD743" s="1470"/>
      <c r="FE743" s="1468" t="str">
        <f t="shared" si="31"/>
        <v/>
      </c>
      <c r="FF743" s="1469"/>
      <c r="FG743" s="1469"/>
      <c r="FH743" s="1469"/>
      <c r="FI743" s="1470"/>
      <c r="FJ743" s="1468" t="str">
        <f t="shared" si="32"/>
        <v/>
      </c>
      <c r="FK743" s="1469"/>
      <c r="FL743" s="1469"/>
      <c r="FM743" s="1469"/>
      <c r="FN743" s="1470"/>
      <c r="FO743" s="1468" t="str">
        <f t="shared" si="33"/>
        <v/>
      </c>
      <c r="FP743" s="1469"/>
      <c r="FQ743" s="1469"/>
      <c r="FR743" s="1469"/>
      <c r="FS743" s="1470"/>
      <c r="FT743" s="1468" t="str">
        <f t="shared" si="34"/>
        <v/>
      </c>
      <c r="FU743" s="1469"/>
      <c r="FV743" s="1469"/>
      <c r="FW743" s="1469"/>
      <c r="FX743" s="1470"/>
      <c r="FY743" s="1468" t="str">
        <f t="shared" si="35"/>
        <v/>
      </c>
      <c r="FZ743" s="1469"/>
      <c r="GA743" s="1469"/>
      <c r="GB743" s="1469"/>
      <c r="GC743" s="1470"/>
    </row>
    <row r="744" spans="1:185" ht="12.95" customHeight="1">
      <c r="B744" s="1382"/>
      <c r="C744" s="1383"/>
      <c r="D744" s="1383"/>
      <c r="E744" s="1383"/>
      <c r="F744" s="1384"/>
      <c r="G744" s="1341"/>
      <c r="H744" s="1342"/>
      <c r="I744" s="1342"/>
      <c r="J744" s="1343"/>
      <c r="K744" s="1347"/>
      <c r="L744" s="1348"/>
      <c r="M744" s="1348"/>
      <c r="N744" s="1349"/>
      <c r="O744" s="1344"/>
      <c r="P744" s="1345"/>
      <c r="Q744" s="1345"/>
      <c r="R744" s="1345"/>
      <c r="S744" s="1346"/>
      <c r="T744" s="1344"/>
      <c r="U744" s="1345"/>
      <c r="V744" s="1345"/>
      <c r="W744" s="1346"/>
      <c r="X744" s="1496">
        <f t="shared" si="39"/>
        <v>0</v>
      </c>
      <c r="Y744" s="1433"/>
      <c r="Z744" s="1433"/>
      <c r="AA744" s="1433"/>
      <c r="AB744" s="1497"/>
      <c r="AC744" s="1351"/>
      <c r="AD744" s="1352"/>
      <c r="AE744" s="1352"/>
      <c r="AF744" s="1352"/>
      <c r="AG744" s="1353"/>
      <c r="AH744" s="1338" t="str">
        <f t="shared" si="36"/>
        <v/>
      </c>
      <c r="AI744" s="1339"/>
      <c r="AJ744" s="1340"/>
      <c r="AK744" s="1382" t="s">
        <v>590</v>
      </c>
      <c r="AL744" s="1383"/>
      <c r="AM744" s="1383"/>
      <c r="AN744" s="1383"/>
      <c r="AO744" s="1384"/>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8">
        <f t="shared" si="37"/>
        <v>0</v>
      </c>
      <c r="CH744" s="1470"/>
      <c r="CI744" s="1480">
        <f t="shared" si="38"/>
        <v>0</v>
      </c>
      <c r="CJ744" s="1481"/>
      <c r="CK744" s="1468">
        <f t="shared" si="16"/>
        <v>0</v>
      </c>
      <c r="CL744" s="1470"/>
      <c r="CM744" s="1480">
        <f t="shared" si="17"/>
        <v>0</v>
      </c>
      <c r="CN744" s="1481"/>
      <c r="CO744" s="3"/>
      <c r="CP744" s="1472">
        <f t="shared" si="18"/>
        <v>0</v>
      </c>
      <c r="CQ744" s="1473"/>
      <c r="CR744" s="1473"/>
      <c r="CS744" s="1473"/>
      <c r="CT744" s="1474"/>
      <c r="CU744" s="1455">
        <f t="shared" si="19"/>
        <v>0</v>
      </c>
      <c r="CV744" s="1455"/>
      <c r="CW744" s="1455"/>
      <c r="CX744" s="1455"/>
      <c r="CY744" s="1455"/>
      <c r="CZ744" s="1455">
        <f t="shared" si="20"/>
        <v>0</v>
      </c>
      <c r="DA744" s="1455"/>
      <c r="DB744" s="1455"/>
      <c r="DC744" s="1455"/>
      <c r="DD744" s="1455"/>
      <c r="DE744" s="1455">
        <f t="shared" si="21"/>
        <v>0</v>
      </c>
      <c r="DF744" s="1455"/>
      <c r="DG744" s="1455"/>
      <c r="DH744" s="1455"/>
      <c r="DI744" s="1455"/>
      <c r="DJ744" s="1455">
        <f t="shared" si="22"/>
        <v>0</v>
      </c>
      <c r="DK744" s="1455"/>
      <c r="DL744" s="1455"/>
      <c r="DM744" s="1455"/>
      <c r="DN744" s="1455"/>
      <c r="DO744" s="1455">
        <f t="shared" si="23"/>
        <v>0</v>
      </c>
      <c r="DP744" s="1455"/>
      <c r="DQ744" s="1455"/>
      <c r="DR744" s="1455"/>
      <c r="DS744" s="1455"/>
      <c r="DT744" s="6"/>
      <c r="DU744" s="1456">
        <f t="shared" si="24"/>
        <v>0</v>
      </c>
      <c r="DV744" s="1456"/>
      <c r="DW744" s="1456"/>
      <c r="DX744" s="1456"/>
      <c r="DY744" s="1456"/>
      <c r="DZ744" s="1456">
        <f t="shared" si="25"/>
        <v>0</v>
      </c>
      <c r="EA744" s="1456"/>
      <c r="EB744" s="1456"/>
      <c r="EC744" s="1456"/>
      <c r="ED744" s="1456"/>
      <c r="EE744" s="1456">
        <f t="shared" si="26"/>
        <v>0</v>
      </c>
      <c r="EF744" s="1456"/>
      <c r="EG744" s="1456"/>
      <c r="EH744" s="1456"/>
      <c r="EI744" s="1456"/>
      <c r="EJ744" s="1456">
        <f t="shared" si="27"/>
        <v>0</v>
      </c>
      <c r="EK744" s="1456"/>
      <c r="EL744" s="1456"/>
      <c r="EM744" s="1456"/>
      <c r="EN744" s="1456"/>
      <c r="EO744" s="1456">
        <f t="shared" si="28"/>
        <v>0</v>
      </c>
      <c r="EP744" s="1456"/>
      <c r="EQ744" s="1456"/>
      <c r="ER744" s="1456"/>
      <c r="ES744" s="1456"/>
      <c r="ET744" s="1456">
        <f t="shared" si="29"/>
        <v>0</v>
      </c>
      <c r="EU744" s="1456"/>
      <c r="EV744" s="1456"/>
      <c r="EW744" s="1456"/>
      <c r="EX744" s="1456"/>
      <c r="EZ744" s="1468" t="str">
        <f t="shared" si="30"/>
        <v/>
      </c>
      <c r="FA744" s="1469"/>
      <c r="FB744" s="1469"/>
      <c r="FC744" s="1469"/>
      <c r="FD744" s="1470"/>
      <c r="FE744" s="1468" t="str">
        <f t="shared" si="31"/>
        <v/>
      </c>
      <c r="FF744" s="1469"/>
      <c r="FG744" s="1469"/>
      <c r="FH744" s="1469"/>
      <c r="FI744" s="1470"/>
      <c r="FJ744" s="1468" t="str">
        <f t="shared" si="32"/>
        <v/>
      </c>
      <c r="FK744" s="1469"/>
      <c r="FL744" s="1469"/>
      <c r="FM744" s="1469"/>
      <c r="FN744" s="1470"/>
      <c r="FO744" s="1468" t="str">
        <f t="shared" si="33"/>
        <v/>
      </c>
      <c r="FP744" s="1469"/>
      <c r="FQ744" s="1469"/>
      <c r="FR744" s="1469"/>
      <c r="FS744" s="1470"/>
      <c r="FT744" s="1468" t="str">
        <f t="shared" si="34"/>
        <v/>
      </c>
      <c r="FU744" s="1469"/>
      <c r="FV744" s="1469"/>
      <c r="FW744" s="1469"/>
      <c r="FX744" s="1470"/>
      <c r="FY744" s="1468" t="str">
        <f t="shared" si="35"/>
        <v/>
      </c>
      <c r="FZ744" s="1469"/>
      <c r="GA744" s="1469"/>
      <c r="GB744" s="1469"/>
      <c r="GC744" s="1470"/>
    </row>
    <row r="745" spans="1:185" ht="12.95" customHeight="1">
      <c r="B745" s="1382"/>
      <c r="C745" s="1383"/>
      <c r="D745" s="1383"/>
      <c r="E745" s="1383"/>
      <c r="F745" s="1384"/>
      <c r="G745" s="1341"/>
      <c r="H745" s="1342"/>
      <c r="I745" s="1342"/>
      <c r="J745" s="1343"/>
      <c r="K745" s="1347"/>
      <c r="L745" s="1348"/>
      <c r="M745" s="1348"/>
      <c r="N745" s="1349"/>
      <c r="O745" s="1344"/>
      <c r="P745" s="1345"/>
      <c r="Q745" s="1345"/>
      <c r="R745" s="1345"/>
      <c r="S745" s="1346"/>
      <c r="T745" s="1344"/>
      <c r="U745" s="1345"/>
      <c r="V745" s="1345"/>
      <c r="W745" s="1346"/>
      <c r="X745" s="1496">
        <f t="shared" si="39"/>
        <v>0</v>
      </c>
      <c r="Y745" s="1433"/>
      <c r="Z745" s="1433"/>
      <c r="AA745" s="1433"/>
      <c r="AB745" s="1497"/>
      <c r="AC745" s="1351"/>
      <c r="AD745" s="1352"/>
      <c r="AE745" s="1352"/>
      <c r="AF745" s="1352"/>
      <c r="AG745" s="1353"/>
      <c r="AH745" s="1338" t="str">
        <f t="shared" si="36"/>
        <v/>
      </c>
      <c r="AI745" s="1339"/>
      <c r="AJ745" s="1340"/>
      <c r="AK745" s="1382" t="s">
        <v>590</v>
      </c>
      <c r="AL745" s="1383"/>
      <c r="AM745" s="1383"/>
      <c r="AN745" s="1383"/>
      <c r="AO745" s="1384"/>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8">
        <f t="shared" si="37"/>
        <v>0</v>
      </c>
      <c r="CH745" s="1470"/>
      <c r="CI745" s="1480">
        <f t="shared" si="38"/>
        <v>0</v>
      </c>
      <c r="CJ745" s="1481"/>
      <c r="CK745" s="1468">
        <f t="shared" si="16"/>
        <v>0</v>
      </c>
      <c r="CL745" s="1470"/>
      <c r="CM745" s="1480">
        <f t="shared" si="17"/>
        <v>0</v>
      </c>
      <c r="CN745" s="1481"/>
      <c r="CO745" s="3"/>
      <c r="CP745" s="1472">
        <f t="shared" si="18"/>
        <v>0</v>
      </c>
      <c r="CQ745" s="1473"/>
      <c r="CR745" s="1473"/>
      <c r="CS745" s="1473"/>
      <c r="CT745" s="1474"/>
      <c r="CU745" s="1455">
        <f t="shared" si="19"/>
        <v>0</v>
      </c>
      <c r="CV745" s="1455"/>
      <c r="CW745" s="1455"/>
      <c r="CX745" s="1455"/>
      <c r="CY745" s="1455"/>
      <c r="CZ745" s="1455">
        <f t="shared" si="20"/>
        <v>0</v>
      </c>
      <c r="DA745" s="1455"/>
      <c r="DB745" s="1455"/>
      <c r="DC745" s="1455"/>
      <c r="DD745" s="1455"/>
      <c r="DE745" s="1455">
        <f t="shared" si="21"/>
        <v>0</v>
      </c>
      <c r="DF745" s="1455"/>
      <c r="DG745" s="1455"/>
      <c r="DH745" s="1455"/>
      <c r="DI745" s="1455"/>
      <c r="DJ745" s="1455">
        <f t="shared" si="22"/>
        <v>0</v>
      </c>
      <c r="DK745" s="1455"/>
      <c r="DL745" s="1455"/>
      <c r="DM745" s="1455"/>
      <c r="DN745" s="1455"/>
      <c r="DO745" s="1455">
        <f t="shared" si="23"/>
        <v>0</v>
      </c>
      <c r="DP745" s="1455"/>
      <c r="DQ745" s="1455"/>
      <c r="DR745" s="1455"/>
      <c r="DS745" s="1455"/>
      <c r="DT745" s="6"/>
      <c r="DU745" s="1456">
        <f t="shared" si="24"/>
        <v>0</v>
      </c>
      <c r="DV745" s="1456"/>
      <c r="DW745" s="1456"/>
      <c r="DX745" s="1456"/>
      <c r="DY745" s="1456"/>
      <c r="DZ745" s="1456">
        <f t="shared" si="25"/>
        <v>0</v>
      </c>
      <c r="EA745" s="1456"/>
      <c r="EB745" s="1456"/>
      <c r="EC745" s="1456"/>
      <c r="ED745" s="1456"/>
      <c r="EE745" s="1456">
        <f t="shared" si="26"/>
        <v>0</v>
      </c>
      <c r="EF745" s="1456"/>
      <c r="EG745" s="1456"/>
      <c r="EH745" s="1456"/>
      <c r="EI745" s="1456"/>
      <c r="EJ745" s="1456">
        <f t="shared" si="27"/>
        <v>0</v>
      </c>
      <c r="EK745" s="1456"/>
      <c r="EL745" s="1456"/>
      <c r="EM745" s="1456"/>
      <c r="EN745" s="1456"/>
      <c r="EO745" s="1456">
        <f t="shared" si="28"/>
        <v>0</v>
      </c>
      <c r="EP745" s="1456"/>
      <c r="EQ745" s="1456"/>
      <c r="ER745" s="1456"/>
      <c r="ES745" s="1456"/>
      <c r="ET745" s="1456">
        <f t="shared" si="29"/>
        <v>0</v>
      </c>
      <c r="EU745" s="1456"/>
      <c r="EV745" s="1456"/>
      <c r="EW745" s="1456"/>
      <c r="EX745" s="1456"/>
      <c r="EZ745" s="1468" t="str">
        <f t="shared" si="30"/>
        <v/>
      </c>
      <c r="FA745" s="1469"/>
      <c r="FB745" s="1469"/>
      <c r="FC745" s="1469"/>
      <c r="FD745" s="1470"/>
      <c r="FE745" s="1468" t="str">
        <f t="shared" si="31"/>
        <v/>
      </c>
      <c r="FF745" s="1469"/>
      <c r="FG745" s="1469"/>
      <c r="FH745" s="1469"/>
      <c r="FI745" s="1470"/>
      <c r="FJ745" s="1468" t="str">
        <f t="shared" si="32"/>
        <v/>
      </c>
      <c r="FK745" s="1469"/>
      <c r="FL745" s="1469"/>
      <c r="FM745" s="1469"/>
      <c r="FN745" s="1470"/>
      <c r="FO745" s="1468" t="str">
        <f t="shared" si="33"/>
        <v/>
      </c>
      <c r="FP745" s="1469"/>
      <c r="FQ745" s="1469"/>
      <c r="FR745" s="1469"/>
      <c r="FS745" s="1470"/>
      <c r="FT745" s="1468" t="str">
        <f t="shared" si="34"/>
        <v/>
      </c>
      <c r="FU745" s="1469"/>
      <c r="FV745" s="1469"/>
      <c r="FW745" s="1469"/>
      <c r="FX745" s="1470"/>
      <c r="FY745" s="1468" t="str">
        <f t="shared" si="35"/>
        <v/>
      </c>
      <c r="FZ745" s="1469"/>
      <c r="GA745" s="1469"/>
      <c r="GB745" s="1469"/>
      <c r="GC745" s="1470"/>
    </row>
    <row r="746" spans="1:185" ht="12.95" customHeight="1">
      <c r="B746" s="1382"/>
      <c r="C746" s="1383"/>
      <c r="D746" s="1383"/>
      <c r="E746" s="1383"/>
      <c r="F746" s="1384"/>
      <c r="G746" s="1341"/>
      <c r="H746" s="1342"/>
      <c r="I746" s="1342"/>
      <c r="J746" s="1343"/>
      <c r="K746" s="1347"/>
      <c r="L746" s="1348"/>
      <c r="M746" s="1348"/>
      <c r="N746" s="1349"/>
      <c r="O746" s="1344"/>
      <c r="P746" s="1345"/>
      <c r="Q746" s="1345"/>
      <c r="R746" s="1345"/>
      <c r="S746" s="1346"/>
      <c r="T746" s="1344"/>
      <c r="U746" s="1345"/>
      <c r="V746" s="1345"/>
      <c r="W746" s="1346"/>
      <c r="X746" s="1496">
        <f t="shared" si="39"/>
        <v>0</v>
      </c>
      <c r="Y746" s="1433"/>
      <c r="Z746" s="1433"/>
      <c r="AA746" s="1433"/>
      <c r="AB746" s="1497"/>
      <c r="AC746" s="1351"/>
      <c r="AD746" s="1352"/>
      <c r="AE746" s="1352"/>
      <c r="AF746" s="1352"/>
      <c r="AG746" s="1353"/>
      <c r="AH746" s="1338" t="str">
        <f t="shared" si="36"/>
        <v/>
      </c>
      <c r="AI746" s="1339"/>
      <c r="AJ746" s="1340"/>
      <c r="AK746" s="1382" t="s">
        <v>590</v>
      </c>
      <c r="AL746" s="1383"/>
      <c r="AM746" s="1383"/>
      <c r="AN746" s="1383"/>
      <c r="AO746" s="1384"/>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8">
        <f t="shared" si="37"/>
        <v>0</v>
      </c>
      <c r="CH746" s="1470"/>
      <c r="CI746" s="1480">
        <f t="shared" si="38"/>
        <v>0</v>
      </c>
      <c r="CJ746" s="1481"/>
      <c r="CK746" s="1468">
        <f t="shared" si="16"/>
        <v>0</v>
      </c>
      <c r="CL746" s="1470"/>
      <c r="CM746" s="1480">
        <f t="shared" si="17"/>
        <v>0</v>
      </c>
      <c r="CN746" s="1481"/>
      <c r="CO746" s="3"/>
      <c r="CP746" s="1472">
        <f t="shared" si="18"/>
        <v>0</v>
      </c>
      <c r="CQ746" s="1473"/>
      <c r="CR746" s="1473"/>
      <c r="CS746" s="1473"/>
      <c r="CT746" s="1474"/>
      <c r="CU746" s="1455">
        <f t="shared" si="19"/>
        <v>0</v>
      </c>
      <c r="CV746" s="1455"/>
      <c r="CW746" s="1455"/>
      <c r="CX746" s="1455"/>
      <c r="CY746" s="1455"/>
      <c r="CZ746" s="1455">
        <f t="shared" si="20"/>
        <v>0</v>
      </c>
      <c r="DA746" s="1455"/>
      <c r="DB746" s="1455"/>
      <c r="DC746" s="1455"/>
      <c r="DD746" s="1455"/>
      <c r="DE746" s="1455">
        <f t="shared" si="21"/>
        <v>0</v>
      </c>
      <c r="DF746" s="1455"/>
      <c r="DG746" s="1455"/>
      <c r="DH746" s="1455"/>
      <c r="DI746" s="1455"/>
      <c r="DJ746" s="1455">
        <f t="shared" si="22"/>
        <v>0</v>
      </c>
      <c r="DK746" s="1455"/>
      <c r="DL746" s="1455"/>
      <c r="DM746" s="1455"/>
      <c r="DN746" s="1455"/>
      <c r="DO746" s="1455">
        <f t="shared" si="23"/>
        <v>0</v>
      </c>
      <c r="DP746" s="1455"/>
      <c r="DQ746" s="1455"/>
      <c r="DR746" s="1455"/>
      <c r="DS746" s="1455"/>
      <c r="DT746" s="6"/>
      <c r="DU746" s="1456">
        <f t="shared" si="24"/>
        <v>0</v>
      </c>
      <c r="DV746" s="1456"/>
      <c r="DW746" s="1456"/>
      <c r="DX746" s="1456"/>
      <c r="DY746" s="1456"/>
      <c r="DZ746" s="1456">
        <f t="shared" si="25"/>
        <v>0</v>
      </c>
      <c r="EA746" s="1456"/>
      <c r="EB746" s="1456"/>
      <c r="EC746" s="1456"/>
      <c r="ED746" s="1456"/>
      <c r="EE746" s="1456">
        <f t="shared" si="26"/>
        <v>0</v>
      </c>
      <c r="EF746" s="1456"/>
      <c r="EG746" s="1456"/>
      <c r="EH746" s="1456"/>
      <c r="EI746" s="1456"/>
      <c r="EJ746" s="1456">
        <f t="shared" si="27"/>
        <v>0</v>
      </c>
      <c r="EK746" s="1456"/>
      <c r="EL746" s="1456"/>
      <c r="EM746" s="1456"/>
      <c r="EN746" s="1456"/>
      <c r="EO746" s="1456">
        <f t="shared" si="28"/>
        <v>0</v>
      </c>
      <c r="EP746" s="1456"/>
      <c r="EQ746" s="1456"/>
      <c r="ER746" s="1456"/>
      <c r="ES746" s="1456"/>
      <c r="ET746" s="1456">
        <f t="shared" si="29"/>
        <v>0</v>
      </c>
      <c r="EU746" s="1456"/>
      <c r="EV746" s="1456"/>
      <c r="EW746" s="1456"/>
      <c r="EX746" s="1456"/>
      <c r="EZ746" s="1468" t="str">
        <f t="shared" si="30"/>
        <v/>
      </c>
      <c r="FA746" s="1469"/>
      <c r="FB746" s="1469"/>
      <c r="FC746" s="1469"/>
      <c r="FD746" s="1470"/>
      <c r="FE746" s="1468" t="str">
        <f t="shared" si="31"/>
        <v/>
      </c>
      <c r="FF746" s="1469"/>
      <c r="FG746" s="1469"/>
      <c r="FH746" s="1469"/>
      <c r="FI746" s="1470"/>
      <c r="FJ746" s="1468" t="str">
        <f t="shared" si="32"/>
        <v/>
      </c>
      <c r="FK746" s="1469"/>
      <c r="FL746" s="1469"/>
      <c r="FM746" s="1469"/>
      <c r="FN746" s="1470"/>
      <c r="FO746" s="1468" t="str">
        <f t="shared" si="33"/>
        <v/>
      </c>
      <c r="FP746" s="1469"/>
      <c r="FQ746" s="1469"/>
      <c r="FR746" s="1469"/>
      <c r="FS746" s="1470"/>
      <c r="FT746" s="1468" t="str">
        <f t="shared" si="34"/>
        <v/>
      </c>
      <c r="FU746" s="1469"/>
      <c r="FV746" s="1469"/>
      <c r="FW746" s="1469"/>
      <c r="FX746" s="1470"/>
      <c r="FY746" s="1468" t="str">
        <f t="shared" si="35"/>
        <v/>
      </c>
      <c r="FZ746" s="1469"/>
      <c r="GA746" s="1469"/>
      <c r="GB746" s="1469"/>
      <c r="GC746" s="1470"/>
    </row>
    <row r="747" spans="1:185" ht="12.95" customHeight="1">
      <c r="B747" s="1382"/>
      <c r="C747" s="1383"/>
      <c r="D747" s="1383"/>
      <c r="E747" s="1383"/>
      <c r="F747" s="1384"/>
      <c r="G747" s="1341"/>
      <c r="H747" s="1342"/>
      <c r="I747" s="1342"/>
      <c r="J747" s="1343"/>
      <c r="K747" s="1347"/>
      <c r="L747" s="1348"/>
      <c r="M747" s="1348"/>
      <c r="N747" s="1349"/>
      <c r="O747" s="1344"/>
      <c r="P747" s="1345"/>
      <c r="Q747" s="1345"/>
      <c r="R747" s="1345"/>
      <c r="S747" s="1346"/>
      <c r="T747" s="1344"/>
      <c r="U747" s="1345"/>
      <c r="V747" s="1345"/>
      <c r="W747" s="1346"/>
      <c r="X747" s="1496">
        <f t="shared" si="39"/>
        <v>0</v>
      </c>
      <c r="Y747" s="1433"/>
      <c r="Z747" s="1433"/>
      <c r="AA747" s="1433"/>
      <c r="AB747" s="1497"/>
      <c r="AC747" s="1351"/>
      <c r="AD747" s="1352"/>
      <c r="AE747" s="1352"/>
      <c r="AF747" s="1352"/>
      <c r="AG747" s="1353"/>
      <c r="AH747" s="1338" t="str">
        <f t="shared" si="36"/>
        <v/>
      </c>
      <c r="AI747" s="1339"/>
      <c r="AJ747" s="1340"/>
      <c r="AK747" s="1382" t="s">
        <v>590</v>
      </c>
      <c r="AL747" s="1383"/>
      <c r="AM747" s="1383"/>
      <c r="AN747" s="1383"/>
      <c r="AO747" s="1384"/>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8">
        <f t="shared" si="37"/>
        <v>0</v>
      </c>
      <c r="CH747" s="1470"/>
      <c r="CI747" s="1480">
        <f t="shared" si="38"/>
        <v>0</v>
      </c>
      <c r="CJ747" s="1481"/>
      <c r="CK747" s="1468">
        <f t="shared" si="16"/>
        <v>0</v>
      </c>
      <c r="CL747" s="1470"/>
      <c r="CM747" s="1480">
        <f t="shared" si="17"/>
        <v>0</v>
      </c>
      <c r="CN747" s="1481"/>
      <c r="CO747" s="3"/>
      <c r="CP747" s="1472">
        <f t="shared" si="18"/>
        <v>0</v>
      </c>
      <c r="CQ747" s="1473"/>
      <c r="CR747" s="1473"/>
      <c r="CS747" s="1473"/>
      <c r="CT747" s="1474"/>
      <c r="CU747" s="1455">
        <f t="shared" si="19"/>
        <v>0</v>
      </c>
      <c r="CV747" s="1455"/>
      <c r="CW747" s="1455"/>
      <c r="CX747" s="1455"/>
      <c r="CY747" s="1455"/>
      <c r="CZ747" s="1455">
        <f t="shared" si="20"/>
        <v>0</v>
      </c>
      <c r="DA747" s="1455"/>
      <c r="DB747" s="1455"/>
      <c r="DC747" s="1455"/>
      <c r="DD747" s="1455"/>
      <c r="DE747" s="1455">
        <f t="shared" si="21"/>
        <v>0</v>
      </c>
      <c r="DF747" s="1455"/>
      <c r="DG747" s="1455"/>
      <c r="DH747" s="1455"/>
      <c r="DI747" s="1455"/>
      <c r="DJ747" s="1455">
        <f t="shared" si="22"/>
        <v>0</v>
      </c>
      <c r="DK747" s="1455"/>
      <c r="DL747" s="1455"/>
      <c r="DM747" s="1455"/>
      <c r="DN747" s="1455"/>
      <c r="DO747" s="1455">
        <f t="shared" si="23"/>
        <v>0</v>
      </c>
      <c r="DP747" s="1455"/>
      <c r="DQ747" s="1455"/>
      <c r="DR747" s="1455"/>
      <c r="DS747" s="1455"/>
      <c r="DT747" s="6"/>
      <c r="DU747" s="1456">
        <f t="shared" si="24"/>
        <v>0</v>
      </c>
      <c r="DV747" s="1456"/>
      <c r="DW747" s="1456"/>
      <c r="DX747" s="1456"/>
      <c r="DY747" s="1456"/>
      <c r="DZ747" s="1456">
        <f t="shared" si="25"/>
        <v>0</v>
      </c>
      <c r="EA747" s="1456"/>
      <c r="EB747" s="1456"/>
      <c r="EC747" s="1456"/>
      <c r="ED747" s="1456"/>
      <c r="EE747" s="1456">
        <f t="shared" si="26"/>
        <v>0</v>
      </c>
      <c r="EF747" s="1456"/>
      <c r="EG747" s="1456"/>
      <c r="EH747" s="1456"/>
      <c r="EI747" s="1456"/>
      <c r="EJ747" s="1456">
        <f t="shared" si="27"/>
        <v>0</v>
      </c>
      <c r="EK747" s="1456"/>
      <c r="EL747" s="1456"/>
      <c r="EM747" s="1456"/>
      <c r="EN747" s="1456"/>
      <c r="EO747" s="1456">
        <f t="shared" si="28"/>
        <v>0</v>
      </c>
      <c r="EP747" s="1456"/>
      <c r="EQ747" s="1456"/>
      <c r="ER747" s="1456"/>
      <c r="ES747" s="1456"/>
      <c r="ET747" s="1456">
        <f t="shared" si="29"/>
        <v>0</v>
      </c>
      <c r="EU747" s="1456"/>
      <c r="EV747" s="1456"/>
      <c r="EW747" s="1456"/>
      <c r="EX747" s="1456"/>
      <c r="EZ747" s="1468" t="str">
        <f t="shared" si="30"/>
        <v/>
      </c>
      <c r="FA747" s="1469"/>
      <c r="FB747" s="1469"/>
      <c r="FC747" s="1469"/>
      <c r="FD747" s="1470"/>
      <c r="FE747" s="1468" t="str">
        <f t="shared" si="31"/>
        <v/>
      </c>
      <c r="FF747" s="1469"/>
      <c r="FG747" s="1469"/>
      <c r="FH747" s="1469"/>
      <c r="FI747" s="1470"/>
      <c r="FJ747" s="1468" t="str">
        <f t="shared" si="32"/>
        <v/>
      </c>
      <c r="FK747" s="1469"/>
      <c r="FL747" s="1469"/>
      <c r="FM747" s="1469"/>
      <c r="FN747" s="1470"/>
      <c r="FO747" s="1468" t="str">
        <f t="shared" si="33"/>
        <v/>
      </c>
      <c r="FP747" s="1469"/>
      <c r="FQ747" s="1469"/>
      <c r="FR747" s="1469"/>
      <c r="FS747" s="1470"/>
      <c r="FT747" s="1468" t="str">
        <f t="shared" si="34"/>
        <v/>
      </c>
      <c r="FU747" s="1469"/>
      <c r="FV747" s="1469"/>
      <c r="FW747" s="1469"/>
      <c r="FX747" s="1470"/>
      <c r="FY747" s="1468" t="str">
        <f t="shared" si="35"/>
        <v/>
      </c>
      <c r="FZ747" s="1469"/>
      <c r="GA747" s="1469"/>
      <c r="GB747" s="1469"/>
      <c r="GC747" s="1470"/>
    </row>
    <row r="748" spans="1:185" s="3" customFormat="1" ht="12.95" customHeight="1">
      <c r="A748"/>
      <c r="B748" s="1382"/>
      <c r="C748" s="1383"/>
      <c r="D748" s="1383"/>
      <c r="E748" s="1383"/>
      <c r="F748" s="1384"/>
      <c r="G748" s="1341"/>
      <c r="H748" s="1342"/>
      <c r="I748" s="1342"/>
      <c r="J748" s="1343"/>
      <c r="K748" s="1347"/>
      <c r="L748" s="1348"/>
      <c r="M748" s="1348"/>
      <c r="N748" s="1349"/>
      <c r="O748" s="1344"/>
      <c r="P748" s="1345"/>
      <c r="Q748" s="1345"/>
      <c r="R748" s="1345"/>
      <c r="S748" s="1346"/>
      <c r="T748" s="1344"/>
      <c r="U748" s="1345"/>
      <c r="V748" s="1345"/>
      <c r="W748" s="1346"/>
      <c r="X748" s="1496">
        <f t="shared" si="39"/>
        <v>0</v>
      </c>
      <c r="Y748" s="1433"/>
      <c r="Z748" s="1433"/>
      <c r="AA748" s="1433"/>
      <c r="AB748" s="1497"/>
      <c r="AC748" s="1351"/>
      <c r="AD748" s="1352"/>
      <c r="AE748" s="1352"/>
      <c r="AF748" s="1352"/>
      <c r="AG748" s="1353"/>
      <c r="AH748" s="1338" t="str">
        <f t="shared" si="36"/>
        <v/>
      </c>
      <c r="AI748" s="1339"/>
      <c r="AJ748" s="1340"/>
      <c r="AK748" s="1382" t="s">
        <v>590</v>
      </c>
      <c r="AL748" s="1383"/>
      <c r="AM748" s="1383"/>
      <c r="AN748" s="1383"/>
      <c r="AO748" s="1384"/>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8">
        <f t="shared" si="37"/>
        <v>0</v>
      </c>
      <c r="CH748" s="1470"/>
      <c r="CI748" s="1480">
        <f t="shared" si="38"/>
        <v>0</v>
      </c>
      <c r="CJ748" s="1481"/>
      <c r="CK748" s="1468">
        <f t="shared" si="16"/>
        <v>0</v>
      </c>
      <c r="CL748" s="1470"/>
      <c r="CM748" s="1480">
        <f t="shared" si="17"/>
        <v>0</v>
      </c>
      <c r="CN748" s="1481"/>
      <c r="CP748" s="1472">
        <f t="shared" si="18"/>
        <v>0</v>
      </c>
      <c r="CQ748" s="1473"/>
      <c r="CR748" s="1473"/>
      <c r="CS748" s="1473"/>
      <c r="CT748" s="1474"/>
      <c r="CU748" s="1455">
        <f t="shared" si="19"/>
        <v>0</v>
      </c>
      <c r="CV748" s="1455"/>
      <c r="CW748" s="1455"/>
      <c r="CX748" s="1455"/>
      <c r="CY748" s="1455"/>
      <c r="CZ748" s="1455">
        <f t="shared" si="20"/>
        <v>0</v>
      </c>
      <c r="DA748" s="1455"/>
      <c r="DB748" s="1455"/>
      <c r="DC748" s="1455"/>
      <c r="DD748" s="1455"/>
      <c r="DE748" s="1455">
        <f t="shared" si="21"/>
        <v>0</v>
      </c>
      <c r="DF748" s="1455"/>
      <c r="DG748" s="1455"/>
      <c r="DH748" s="1455"/>
      <c r="DI748" s="1455"/>
      <c r="DJ748" s="1455">
        <f t="shared" si="22"/>
        <v>0</v>
      </c>
      <c r="DK748" s="1455"/>
      <c r="DL748" s="1455"/>
      <c r="DM748" s="1455"/>
      <c r="DN748" s="1455"/>
      <c r="DO748" s="1455">
        <f t="shared" si="23"/>
        <v>0</v>
      </c>
      <c r="DP748" s="1455"/>
      <c r="DQ748" s="1455"/>
      <c r="DR748" s="1455"/>
      <c r="DS748" s="1455"/>
      <c r="DT748" s="6"/>
      <c r="DU748" s="1456">
        <f t="shared" si="24"/>
        <v>0</v>
      </c>
      <c r="DV748" s="1456"/>
      <c r="DW748" s="1456"/>
      <c r="DX748" s="1456"/>
      <c r="DY748" s="1456"/>
      <c r="DZ748" s="1456">
        <f t="shared" si="25"/>
        <v>0</v>
      </c>
      <c r="EA748" s="1456"/>
      <c r="EB748" s="1456"/>
      <c r="EC748" s="1456"/>
      <c r="ED748" s="1456"/>
      <c r="EE748" s="1456">
        <f t="shared" si="26"/>
        <v>0</v>
      </c>
      <c r="EF748" s="1456"/>
      <c r="EG748" s="1456"/>
      <c r="EH748" s="1456"/>
      <c r="EI748" s="1456"/>
      <c r="EJ748" s="1456">
        <f t="shared" si="27"/>
        <v>0</v>
      </c>
      <c r="EK748" s="1456"/>
      <c r="EL748" s="1456"/>
      <c r="EM748" s="1456"/>
      <c r="EN748" s="1456"/>
      <c r="EO748" s="1456">
        <f t="shared" si="28"/>
        <v>0</v>
      </c>
      <c r="EP748" s="1456"/>
      <c r="EQ748" s="1456"/>
      <c r="ER748" s="1456"/>
      <c r="ES748" s="1456"/>
      <c r="ET748" s="1456">
        <f t="shared" si="29"/>
        <v>0</v>
      </c>
      <c r="EU748" s="1456"/>
      <c r="EV748" s="1456"/>
      <c r="EW748" s="1456"/>
      <c r="EX748" s="1456"/>
      <c r="EY748"/>
      <c r="EZ748" s="1468" t="str">
        <f t="shared" si="30"/>
        <v/>
      </c>
      <c r="FA748" s="1469"/>
      <c r="FB748" s="1469"/>
      <c r="FC748" s="1469"/>
      <c r="FD748" s="1470"/>
      <c r="FE748" s="1468" t="str">
        <f t="shared" si="31"/>
        <v/>
      </c>
      <c r="FF748" s="1469"/>
      <c r="FG748" s="1469"/>
      <c r="FH748" s="1469"/>
      <c r="FI748" s="1470"/>
      <c r="FJ748" s="1468" t="str">
        <f t="shared" si="32"/>
        <v/>
      </c>
      <c r="FK748" s="1469"/>
      <c r="FL748" s="1469"/>
      <c r="FM748" s="1469"/>
      <c r="FN748" s="1470"/>
      <c r="FO748" s="1468" t="str">
        <f t="shared" si="33"/>
        <v/>
      </c>
      <c r="FP748" s="1469"/>
      <c r="FQ748" s="1469"/>
      <c r="FR748" s="1469"/>
      <c r="FS748" s="1470"/>
      <c r="FT748" s="1468" t="str">
        <f t="shared" si="34"/>
        <v/>
      </c>
      <c r="FU748" s="1469"/>
      <c r="FV748" s="1469"/>
      <c r="FW748" s="1469"/>
      <c r="FX748" s="1470"/>
      <c r="FY748" s="1468" t="str">
        <f t="shared" si="35"/>
        <v/>
      </c>
      <c r="FZ748" s="1469"/>
      <c r="GA748" s="1469"/>
      <c r="GB748" s="1469"/>
      <c r="GC748" s="1470"/>
    </row>
    <row r="749" spans="1:185" s="3" customFormat="1" ht="12.95" customHeight="1">
      <c r="A749"/>
      <c r="B749" s="1382"/>
      <c r="C749" s="1383"/>
      <c r="D749" s="1383"/>
      <c r="E749" s="1383"/>
      <c r="F749" s="1384"/>
      <c r="G749" s="1341"/>
      <c r="H749" s="1342"/>
      <c r="I749" s="1342"/>
      <c r="J749" s="1343"/>
      <c r="K749" s="1347"/>
      <c r="L749" s="1348"/>
      <c r="M749" s="1348"/>
      <c r="N749" s="1349"/>
      <c r="O749" s="1344"/>
      <c r="P749" s="1345"/>
      <c r="Q749" s="1345"/>
      <c r="R749" s="1345"/>
      <c r="S749" s="1346"/>
      <c r="T749" s="1344"/>
      <c r="U749" s="1345"/>
      <c r="V749" s="1345"/>
      <c r="W749" s="1346"/>
      <c r="X749" s="1496">
        <f t="shared" si="39"/>
        <v>0</v>
      </c>
      <c r="Y749" s="1433"/>
      <c r="Z749" s="1433"/>
      <c r="AA749" s="1433"/>
      <c r="AB749" s="1497"/>
      <c r="AC749" s="1351"/>
      <c r="AD749" s="1352"/>
      <c r="AE749" s="1352"/>
      <c r="AF749" s="1352"/>
      <c r="AG749" s="1353"/>
      <c r="AH749" s="1338" t="str">
        <f t="shared" si="36"/>
        <v/>
      </c>
      <c r="AI749" s="1339"/>
      <c r="AJ749" s="1340"/>
      <c r="AK749" s="1382" t="s">
        <v>590</v>
      </c>
      <c r="AL749" s="1383"/>
      <c r="AM749" s="1383"/>
      <c r="AN749" s="1383"/>
      <c r="AO749" s="1384"/>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8">
        <f t="shared" si="37"/>
        <v>0</v>
      </c>
      <c r="CH749" s="1470"/>
      <c r="CI749" s="1480">
        <f t="shared" si="38"/>
        <v>0</v>
      </c>
      <c r="CJ749" s="1481"/>
      <c r="CK749" s="1468">
        <f t="shared" si="16"/>
        <v>0</v>
      </c>
      <c r="CL749" s="1470"/>
      <c r="CM749" s="1480">
        <f t="shared" si="17"/>
        <v>0</v>
      </c>
      <c r="CN749" s="1481"/>
      <c r="CP749" s="1472">
        <f t="shared" si="18"/>
        <v>0</v>
      </c>
      <c r="CQ749" s="1473"/>
      <c r="CR749" s="1473"/>
      <c r="CS749" s="1473"/>
      <c r="CT749" s="1474"/>
      <c r="CU749" s="1455">
        <f t="shared" si="19"/>
        <v>0</v>
      </c>
      <c r="CV749" s="1455"/>
      <c r="CW749" s="1455"/>
      <c r="CX749" s="1455"/>
      <c r="CY749" s="1455"/>
      <c r="CZ749" s="1455">
        <f t="shared" si="20"/>
        <v>0</v>
      </c>
      <c r="DA749" s="1455"/>
      <c r="DB749" s="1455"/>
      <c r="DC749" s="1455"/>
      <c r="DD749" s="1455"/>
      <c r="DE749" s="1455">
        <f t="shared" si="21"/>
        <v>0</v>
      </c>
      <c r="DF749" s="1455"/>
      <c r="DG749" s="1455"/>
      <c r="DH749" s="1455"/>
      <c r="DI749" s="1455"/>
      <c r="DJ749" s="1455">
        <f t="shared" si="22"/>
        <v>0</v>
      </c>
      <c r="DK749" s="1455"/>
      <c r="DL749" s="1455"/>
      <c r="DM749" s="1455"/>
      <c r="DN749" s="1455"/>
      <c r="DO749" s="1455">
        <f t="shared" si="23"/>
        <v>0</v>
      </c>
      <c r="DP749" s="1455"/>
      <c r="DQ749" s="1455"/>
      <c r="DR749" s="1455"/>
      <c r="DS749" s="1455"/>
      <c r="DT749" s="6"/>
      <c r="DU749" s="1456">
        <f t="shared" si="24"/>
        <v>0</v>
      </c>
      <c r="DV749" s="1456"/>
      <c r="DW749" s="1456"/>
      <c r="DX749" s="1456"/>
      <c r="DY749" s="1456"/>
      <c r="DZ749" s="1456">
        <f t="shared" si="25"/>
        <v>0</v>
      </c>
      <c r="EA749" s="1456"/>
      <c r="EB749" s="1456"/>
      <c r="EC749" s="1456"/>
      <c r="ED749" s="1456"/>
      <c r="EE749" s="1456">
        <f t="shared" si="26"/>
        <v>0</v>
      </c>
      <c r="EF749" s="1456"/>
      <c r="EG749" s="1456"/>
      <c r="EH749" s="1456"/>
      <c r="EI749" s="1456"/>
      <c r="EJ749" s="1456">
        <f t="shared" si="27"/>
        <v>0</v>
      </c>
      <c r="EK749" s="1456"/>
      <c r="EL749" s="1456"/>
      <c r="EM749" s="1456"/>
      <c r="EN749" s="1456"/>
      <c r="EO749" s="1456">
        <f t="shared" si="28"/>
        <v>0</v>
      </c>
      <c r="EP749" s="1456"/>
      <c r="EQ749" s="1456"/>
      <c r="ER749" s="1456"/>
      <c r="ES749" s="1456"/>
      <c r="ET749" s="1456">
        <f t="shared" si="29"/>
        <v>0</v>
      </c>
      <c r="EU749" s="1456"/>
      <c r="EV749" s="1456"/>
      <c r="EW749" s="1456"/>
      <c r="EX749" s="1456"/>
      <c r="EY749"/>
      <c r="EZ749" s="1468" t="str">
        <f t="shared" si="30"/>
        <v/>
      </c>
      <c r="FA749" s="1469"/>
      <c r="FB749" s="1469"/>
      <c r="FC749" s="1469"/>
      <c r="FD749" s="1470"/>
      <c r="FE749" s="1468" t="str">
        <f t="shared" si="31"/>
        <v/>
      </c>
      <c r="FF749" s="1469"/>
      <c r="FG749" s="1469"/>
      <c r="FH749" s="1469"/>
      <c r="FI749" s="1470"/>
      <c r="FJ749" s="1468" t="str">
        <f t="shared" si="32"/>
        <v/>
      </c>
      <c r="FK749" s="1469"/>
      <c r="FL749" s="1469"/>
      <c r="FM749" s="1469"/>
      <c r="FN749" s="1470"/>
      <c r="FO749" s="1468" t="str">
        <f t="shared" si="33"/>
        <v/>
      </c>
      <c r="FP749" s="1469"/>
      <c r="FQ749" s="1469"/>
      <c r="FR749" s="1469"/>
      <c r="FS749" s="1470"/>
      <c r="FT749" s="1468" t="str">
        <f t="shared" si="34"/>
        <v/>
      </c>
      <c r="FU749" s="1469"/>
      <c r="FV749" s="1469"/>
      <c r="FW749" s="1469"/>
      <c r="FX749" s="1470"/>
      <c r="FY749" s="1468" t="str">
        <f t="shared" si="35"/>
        <v/>
      </c>
      <c r="FZ749" s="1469"/>
      <c r="GA749" s="1469"/>
      <c r="GB749" s="1469"/>
      <c r="GC749" s="1470"/>
    </row>
    <row r="750" spans="1:185" s="3" customFormat="1" ht="12.95" customHeight="1">
      <c r="A750"/>
      <c r="B750" s="1382"/>
      <c r="C750" s="1383"/>
      <c r="D750" s="1383"/>
      <c r="E750" s="1383"/>
      <c r="F750" s="1384"/>
      <c r="G750" s="1341"/>
      <c r="H750" s="1342"/>
      <c r="I750" s="1342"/>
      <c r="J750" s="1343"/>
      <c r="K750" s="1347"/>
      <c r="L750" s="1348"/>
      <c r="M750" s="1348"/>
      <c r="N750" s="1349"/>
      <c r="O750" s="1344"/>
      <c r="P750" s="1345"/>
      <c r="Q750" s="1345"/>
      <c r="R750" s="1345"/>
      <c r="S750" s="1346"/>
      <c r="T750" s="1344"/>
      <c r="U750" s="1345"/>
      <c r="V750" s="1345"/>
      <c r="W750" s="1346"/>
      <c r="X750" s="1496">
        <f t="shared" si="39"/>
        <v>0</v>
      </c>
      <c r="Y750" s="1433"/>
      <c r="Z750" s="1433"/>
      <c r="AA750" s="1433"/>
      <c r="AB750" s="1497"/>
      <c r="AC750" s="1351"/>
      <c r="AD750" s="1352"/>
      <c r="AE750" s="1352"/>
      <c r="AF750" s="1352"/>
      <c r="AG750" s="1353"/>
      <c r="AH750" s="1338" t="str">
        <f t="shared" si="36"/>
        <v/>
      </c>
      <c r="AI750" s="1339"/>
      <c r="AJ750" s="1340"/>
      <c r="AK750" s="1382" t="s">
        <v>590</v>
      </c>
      <c r="AL750" s="1383"/>
      <c r="AM750" s="1383"/>
      <c r="AN750" s="1383"/>
      <c r="AO750" s="1384"/>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8">
        <f t="shared" si="37"/>
        <v>0</v>
      </c>
      <c r="CH750" s="1470"/>
      <c r="CI750" s="1480">
        <f t="shared" si="38"/>
        <v>0</v>
      </c>
      <c r="CJ750" s="1481"/>
      <c r="CK750" s="1468">
        <f t="shared" si="16"/>
        <v>0</v>
      </c>
      <c r="CL750" s="1470"/>
      <c r="CM750" s="1480">
        <f t="shared" si="17"/>
        <v>0</v>
      </c>
      <c r="CN750" s="1481"/>
      <c r="CP750" s="1472">
        <f t="shared" si="18"/>
        <v>0</v>
      </c>
      <c r="CQ750" s="1473"/>
      <c r="CR750" s="1473"/>
      <c r="CS750" s="1473"/>
      <c r="CT750" s="1474"/>
      <c r="CU750" s="1455">
        <f t="shared" si="19"/>
        <v>0</v>
      </c>
      <c r="CV750" s="1455"/>
      <c r="CW750" s="1455"/>
      <c r="CX750" s="1455"/>
      <c r="CY750" s="1455"/>
      <c r="CZ750" s="1455">
        <f t="shared" si="20"/>
        <v>0</v>
      </c>
      <c r="DA750" s="1455"/>
      <c r="DB750" s="1455"/>
      <c r="DC750" s="1455"/>
      <c r="DD750" s="1455"/>
      <c r="DE750" s="1455">
        <f t="shared" si="21"/>
        <v>0</v>
      </c>
      <c r="DF750" s="1455"/>
      <c r="DG750" s="1455"/>
      <c r="DH750" s="1455"/>
      <c r="DI750" s="1455"/>
      <c r="DJ750" s="1455">
        <f t="shared" si="22"/>
        <v>0</v>
      </c>
      <c r="DK750" s="1455"/>
      <c r="DL750" s="1455"/>
      <c r="DM750" s="1455"/>
      <c r="DN750" s="1455"/>
      <c r="DO750" s="1455">
        <f t="shared" si="23"/>
        <v>0</v>
      </c>
      <c r="DP750" s="1455"/>
      <c r="DQ750" s="1455"/>
      <c r="DR750" s="1455"/>
      <c r="DS750" s="1455"/>
      <c r="DT750" s="6"/>
      <c r="DU750" s="1456">
        <f t="shared" si="24"/>
        <v>0</v>
      </c>
      <c r="DV750" s="1456"/>
      <c r="DW750" s="1456"/>
      <c r="DX750" s="1456"/>
      <c r="DY750" s="1456"/>
      <c r="DZ750" s="1456">
        <f t="shared" si="25"/>
        <v>0</v>
      </c>
      <c r="EA750" s="1456"/>
      <c r="EB750" s="1456"/>
      <c r="EC750" s="1456"/>
      <c r="ED750" s="1456"/>
      <c r="EE750" s="1456">
        <f t="shared" si="26"/>
        <v>0</v>
      </c>
      <c r="EF750" s="1456"/>
      <c r="EG750" s="1456"/>
      <c r="EH750" s="1456"/>
      <c r="EI750" s="1456"/>
      <c r="EJ750" s="1456">
        <f t="shared" si="27"/>
        <v>0</v>
      </c>
      <c r="EK750" s="1456"/>
      <c r="EL750" s="1456"/>
      <c r="EM750" s="1456"/>
      <c r="EN750" s="1456"/>
      <c r="EO750" s="1456">
        <f t="shared" si="28"/>
        <v>0</v>
      </c>
      <c r="EP750" s="1456"/>
      <c r="EQ750" s="1456"/>
      <c r="ER750" s="1456"/>
      <c r="ES750" s="1456"/>
      <c r="ET750" s="1456">
        <f t="shared" si="29"/>
        <v>0</v>
      </c>
      <c r="EU750" s="1456"/>
      <c r="EV750" s="1456"/>
      <c r="EW750" s="1456"/>
      <c r="EX750" s="1456"/>
      <c r="EY750"/>
      <c r="EZ750" s="1468" t="str">
        <f t="shared" si="30"/>
        <v/>
      </c>
      <c r="FA750" s="1469"/>
      <c r="FB750" s="1469"/>
      <c r="FC750" s="1469"/>
      <c r="FD750" s="1470"/>
      <c r="FE750" s="1468" t="str">
        <f t="shared" si="31"/>
        <v/>
      </c>
      <c r="FF750" s="1469"/>
      <c r="FG750" s="1469"/>
      <c r="FH750" s="1469"/>
      <c r="FI750" s="1470"/>
      <c r="FJ750" s="1468" t="str">
        <f t="shared" si="32"/>
        <v/>
      </c>
      <c r="FK750" s="1469"/>
      <c r="FL750" s="1469"/>
      <c r="FM750" s="1469"/>
      <c r="FN750" s="1470"/>
      <c r="FO750" s="1468" t="str">
        <f t="shared" si="33"/>
        <v/>
      </c>
      <c r="FP750" s="1469"/>
      <c r="FQ750" s="1469"/>
      <c r="FR750" s="1469"/>
      <c r="FS750" s="1470"/>
      <c r="FT750" s="1468" t="str">
        <f t="shared" si="34"/>
        <v/>
      </c>
      <c r="FU750" s="1469"/>
      <c r="FV750" s="1469"/>
      <c r="FW750" s="1469"/>
      <c r="FX750" s="1470"/>
      <c r="FY750" s="1468" t="str">
        <f t="shared" si="35"/>
        <v/>
      </c>
      <c r="FZ750" s="1469"/>
      <c r="GA750" s="1469"/>
      <c r="GB750" s="1469"/>
      <c r="GC750" s="1470"/>
    </row>
    <row r="751" spans="1:185" s="3" customFormat="1" ht="12.95" customHeight="1">
      <c r="A751"/>
      <c r="B751" s="1382"/>
      <c r="C751" s="1383"/>
      <c r="D751" s="1383"/>
      <c r="E751" s="1383"/>
      <c r="F751" s="1384"/>
      <c r="G751" s="1341"/>
      <c r="H751" s="1342"/>
      <c r="I751" s="1342"/>
      <c r="J751" s="1343"/>
      <c r="K751" s="1347"/>
      <c r="L751" s="1348"/>
      <c r="M751" s="1348"/>
      <c r="N751" s="1349"/>
      <c r="O751" s="1344"/>
      <c r="P751" s="1345"/>
      <c r="Q751" s="1345"/>
      <c r="R751" s="1345"/>
      <c r="S751" s="1346"/>
      <c r="T751" s="1344"/>
      <c r="U751" s="1345"/>
      <c r="V751" s="1345"/>
      <c r="W751" s="1346"/>
      <c r="X751" s="1496">
        <f t="shared" si="39"/>
        <v>0</v>
      </c>
      <c r="Y751" s="1433"/>
      <c r="Z751" s="1433"/>
      <c r="AA751" s="1433"/>
      <c r="AB751" s="1497"/>
      <c r="AC751" s="1351"/>
      <c r="AD751" s="1352"/>
      <c r="AE751" s="1352"/>
      <c r="AF751" s="1352"/>
      <c r="AG751" s="1353"/>
      <c r="AH751" s="1338" t="str">
        <f t="shared" si="36"/>
        <v/>
      </c>
      <c r="AI751" s="1339"/>
      <c r="AJ751" s="1340"/>
      <c r="AK751" s="1382" t="s">
        <v>590</v>
      </c>
      <c r="AL751" s="1383"/>
      <c r="AM751" s="1383"/>
      <c r="AN751" s="1383"/>
      <c r="AO751" s="1384"/>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8">
        <f t="shared" si="37"/>
        <v>0</v>
      </c>
      <c r="CH751" s="1470"/>
      <c r="CI751" s="1480">
        <f t="shared" si="38"/>
        <v>0</v>
      </c>
      <c r="CJ751" s="1481"/>
      <c r="CK751" s="1468">
        <f t="shared" si="16"/>
        <v>0</v>
      </c>
      <c r="CL751" s="1470"/>
      <c r="CM751" s="1480">
        <f t="shared" si="17"/>
        <v>0</v>
      </c>
      <c r="CN751" s="1481"/>
      <c r="CP751" s="1472">
        <f t="shared" si="18"/>
        <v>0</v>
      </c>
      <c r="CQ751" s="1473"/>
      <c r="CR751" s="1473"/>
      <c r="CS751" s="1473"/>
      <c r="CT751" s="1474"/>
      <c r="CU751" s="1455">
        <f t="shared" si="19"/>
        <v>0</v>
      </c>
      <c r="CV751" s="1455"/>
      <c r="CW751" s="1455"/>
      <c r="CX751" s="1455"/>
      <c r="CY751" s="1455"/>
      <c r="CZ751" s="1455">
        <f t="shared" si="20"/>
        <v>0</v>
      </c>
      <c r="DA751" s="1455"/>
      <c r="DB751" s="1455"/>
      <c r="DC751" s="1455"/>
      <c r="DD751" s="1455"/>
      <c r="DE751" s="1455">
        <f t="shared" si="21"/>
        <v>0</v>
      </c>
      <c r="DF751" s="1455"/>
      <c r="DG751" s="1455"/>
      <c r="DH751" s="1455"/>
      <c r="DI751" s="1455"/>
      <c r="DJ751" s="1455">
        <f t="shared" si="22"/>
        <v>0</v>
      </c>
      <c r="DK751" s="1455"/>
      <c r="DL751" s="1455"/>
      <c r="DM751" s="1455"/>
      <c r="DN751" s="1455"/>
      <c r="DO751" s="1455">
        <f t="shared" si="23"/>
        <v>0</v>
      </c>
      <c r="DP751" s="1455"/>
      <c r="DQ751" s="1455"/>
      <c r="DR751" s="1455"/>
      <c r="DS751" s="1455"/>
      <c r="DT751" s="6"/>
      <c r="DU751" s="1456">
        <f t="shared" si="24"/>
        <v>0</v>
      </c>
      <c r="DV751" s="1456"/>
      <c r="DW751" s="1456"/>
      <c r="DX751" s="1456"/>
      <c r="DY751" s="1456"/>
      <c r="DZ751" s="1456">
        <f t="shared" si="25"/>
        <v>0</v>
      </c>
      <c r="EA751" s="1456"/>
      <c r="EB751" s="1456"/>
      <c r="EC751" s="1456"/>
      <c r="ED751" s="1456"/>
      <c r="EE751" s="1456">
        <f t="shared" si="26"/>
        <v>0</v>
      </c>
      <c r="EF751" s="1456"/>
      <c r="EG751" s="1456"/>
      <c r="EH751" s="1456"/>
      <c r="EI751" s="1456"/>
      <c r="EJ751" s="1456">
        <f t="shared" si="27"/>
        <v>0</v>
      </c>
      <c r="EK751" s="1456"/>
      <c r="EL751" s="1456"/>
      <c r="EM751" s="1456"/>
      <c r="EN751" s="1456"/>
      <c r="EO751" s="1456">
        <f t="shared" si="28"/>
        <v>0</v>
      </c>
      <c r="EP751" s="1456"/>
      <c r="EQ751" s="1456"/>
      <c r="ER751" s="1456"/>
      <c r="ES751" s="1456"/>
      <c r="ET751" s="1456">
        <f t="shared" si="29"/>
        <v>0</v>
      </c>
      <c r="EU751" s="1456"/>
      <c r="EV751" s="1456"/>
      <c r="EW751" s="1456"/>
      <c r="EX751" s="1456"/>
      <c r="EY751"/>
      <c r="EZ751" s="1468" t="str">
        <f t="shared" si="30"/>
        <v/>
      </c>
      <c r="FA751" s="1469"/>
      <c r="FB751" s="1469"/>
      <c r="FC751" s="1469"/>
      <c r="FD751" s="1470"/>
      <c r="FE751" s="1468" t="str">
        <f t="shared" si="31"/>
        <v/>
      </c>
      <c r="FF751" s="1469"/>
      <c r="FG751" s="1469"/>
      <c r="FH751" s="1469"/>
      <c r="FI751" s="1470"/>
      <c r="FJ751" s="1468" t="str">
        <f t="shared" si="32"/>
        <v/>
      </c>
      <c r="FK751" s="1469"/>
      <c r="FL751" s="1469"/>
      <c r="FM751" s="1469"/>
      <c r="FN751" s="1470"/>
      <c r="FO751" s="1468" t="str">
        <f t="shared" si="33"/>
        <v/>
      </c>
      <c r="FP751" s="1469"/>
      <c r="FQ751" s="1469"/>
      <c r="FR751" s="1469"/>
      <c r="FS751" s="1470"/>
      <c r="FT751" s="1468" t="str">
        <f t="shared" si="34"/>
        <v/>
      </c>
      <c r="FU751" s="1469"/>
      <c r="FV751" s="1469"/>
      <c r="FW751" s="1469"/>
      <c r="FX751" s="1470"/>
      <c r="FY751" s="1468" t="str">
        <f t="shared" si="35"/>
        <v/>
      </c>
      <c r="FZ751" s="1469"/>
      <c r="GA751" s="1469"/>
      <c r="GB751" s="1469"/>
      <c r="GC751" s="1470"/>
    </row>
    <row r="752" spans="1:185" s="3" customFormat="1" ht="12.95" customHeight="1">
      <c r="A752"/>
      <c r="B752" s="1382"/>
      <c r="C752" s="1383"/>
      <c r="D752" s="1383"/>
      <c r="E752" s="1383"/>
      <c r="F752" s="1384"/>
      <c r="G752" s="1341"/>
      <c r="H752" s="1342"/>
      <c r="I752" s="1342"/>
      <c r="J752" s="1343"/>
      <c r="K752" s="1347"/>
      <c r="L752" s="1348"/>
      <c r="M752" s="1348"/>
      <c r="N752" s="1349"/>
      <c r="O752" s="1344"/>
      <c r="P752" s="1345"/>
      <c r="Q752" s="1345"/>
      <c r="R752" s="1345"/>
      <c r="S752" s="1346"/>
      <c r="T752" s="1344"/>
      <c r="U752" s="1345"/>
      <c r="V752" s="1345"/>
      <c r="W752" s="1346"/>
      <c r="X752" s="1496">
        <f>O752+T752</f>
        <v>0</v>
      </c>
      <c r="Y752" s="1433"/>
      <c r="Z752" s="1433"/>
      <c r="AA752" s="1433"/>
      <c r="AB752" s="1497"/>
      <c r="AC752" s="1351"/>
      <c r="AD752" s="1352"/>
      <c r="AE752" s="1352"/>
      <c r="AF752" s="1352"/>
      <c r="AG752" s="1353"/>
      <c r="AH752" s="1338" t="str">
        <f t="shared" si="36"/>
        <v/>
      </c>
      <c r="AI752" s="1339"/>
      <c r="AJ752" s="1340"/>
      <c r="AK752" s="1382" t="s">
        <v>590</v>
      </c>
      <c r="AL752" s="1383"/>
      <c r="AM752" s="1383"/>
      <c r="AN752" s="1383"/>
      <c r="AO752" s="1384"/>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8">
        <f t="shared" si="37"/>
        <v>0</v>
      </c>
      <c r="CH752" s="1470"/>
      <c r="CI752" s="1480">
        <f t="shared" si="38"/>
        <v>0</v>
      </c>
      <c r="CJ752" s="1481"/>
      <c r="CK752" s="1468">
        <f t="shared" si="16"/>
        <v>0</v>
      </c>
      <c r="CL752" s="1470"/>
      <c r="CM752" s="1480">
        <f t="shared" si="17"/>
        <v>0</v>
      </c>
      <c r="CN752" s="1481"/>
      <c r="CP752" s="1472">
        <f t="shared" si="18"/>
        <v>0</v>
      </c>
      <c r="CQ752" s="1473"/>
      <c r="CR752" s="1473"/>
      <c r="CS752" s="1473"/>
      <c r="CT752" s="1474"/>
      <c r="CU752" s="1455">
        <f t="shared" si="19"/>
        <v>0</v>
      </c>
      <c r="CV752" s="1455"/>
      <c r="CW752" s="1455"/>
      <c r="CX752" s="1455"/>
      <c r="CY752" s="1455"/>
      <c r="CZ752" s="1455">
        <f t="shared" si="20"/>
        <v>0</v>
      </c>
      <c r="DA752" s="1455"/>
      <c r="DB752" s="1455"/>
      <c r="DC752" s="1455"/>
      <c r="DD752" s="1455"/>
      <c r="DE752" s="1455">
        <f t="shared" si="21"/>
        <v>0</v>
      </c>
      <c r="DF752" s="1455"/>
      <c r="DG752" s="1455"/>
      <c r="DH752" s="1455"/>
      <c r="DI752" s="1455"/>
      <c r="DJ752" s="1455">
        <f t="shared" si="22"/>
        <v>0</v>
      </c>
      <c r="DK752" s="1455"/>
      <c r="DL752" s="1455"/>
      <c r="DM752" s="1455"/>
      <c r="DN752" s="1455"/>
      <c r="DO752" s="1455">
        <f t="shared" si="23"/>
        <v>0</v>
      </c>
      <c r="DP752" s="1455"/>
      <c r="DQ752" s="1455"/>
      <c r="DR752" s="1455"/>
      <c r="DS752" s="1455"/>
      <c r="DT752" s="6"/>
      <c r="DU752" s="1456">
        <f t="shared" si="24"/>
        <v>0</v>
      </c>
      <c r="DV752" s="1456"/>
      <c r="DW752" s="1456"/>
      <c r="DX752" s="1456"/>
      <c r="DY752" s="1456"/>
      <c r="DZ752" s="1456">
        <f t="shared" si="25"/>
        <v>0</v>
      </c>
      <c r="EA752" s="1456"/>
      <c r="EB752" s="1456"/>
      <c r="EC752" s="1456"/>
      <c r="ED752" s="1456"/>
      <c r="EE752" s="1456">
        <f t="shared" si="26"/>
        <v>0</v>
      </c>
      <c r="EF752" s="1456"/>
      <c r="EG752" s="1456"/>
      <c r="EH752" s="1456"/>
      <c r="EI752" s="1456"/>
      <c r="EJ752" s="1456">
        <f t="shared" si="27"/>
        <v>0</v>
      </c>
      <c r="EK752" s="1456"/>
      <c r="EL752" s="1456"/>
      <c r="EM752" s="1456"/>
      <c r="EN752" s="1456"/>
      <c r="EO752" s="1456">
        <f t="shared" si="28"/>
        <v>0</v>
      </c>
      <c r="EP752" s="1456"/>
      <c r="EQ752" s="1456"/>
      <c r="ER752" s="1456"/>
      <c r="ES752" s="1456"/>
      <c r="ET752" s="1456">
        <f t="shared" si="29"/>
        <v>0</v>
      </c>
      <c r="EU752" s="1456"/>
      <c r="EV752" s="1456"/>
      <c r="EW752" s="1456"/>
      <c r="EX752" s="1456"/>
      <c r="EY752"/>
      <c r="EZ752" s="1468" t="str">
        <f t="shared" si="30"/>
        <v/>
      </c>
      <c r="FA752" s="1469"/>
      <c r="FB752" s="1469"/>
      <c r="FC752" s="1469"/>
      <c r="FD752" s="1470"/>
      <c r="FE752" s="1468" t="str">
        <f t="shared" si="31"/>
        <v/>
      </c>
      <c r="FF752" s="1469"/>
      <c r="FG752" s="1469"/>
      <c r="FH752" s="1469"/>
      <c r="FI752" s="1470"/>
      <c r="FJ752" s="1468" t="str">
        <f t="shared" si="32"/>
        <v/>
      </c>
      <c r="FK752" s="1469"/>
      <c r="FL752" s="1469"/>
      <c r="FM752" s="1469"/>
      <c r="FN752" s="1470"/>
      <c r="FO752" s="1468" t="str">
        <f t="shared" si="33"/>
        <v/>
      </c>
      <c r="FP752" s="1469"/>
      <c r="FQ752" s="1469"/>
      <c r="FR752" s="1469"/>
      <c r="FS752" s="1470"/>
      <c r="FT752" s="1468" t="str">
        <f t="shared" si="34"/>
        <v/>
      </c>
      <c r="FU752" s="1469"/>
      <c r="FV752" s="1469"/>
      <c r="FW752" s="1469"/>
      <c r="FX752" s="1470"/>
      <c r="FY752" s="1468" t="str">
        <f t="shared" si="35"/>
        <v/>
      </c>
      <c r="FZ752" s="1469"/>
      <c r="GA752" s="1469"/>
      <c r="GB752" s="1469"/>
      <c r="GC752" s="1470"/>
    </row>
    <row r="753" spans="1:185" s="3" customFormat="1" ht="12.95" customHeight="1">
      <c r="A753"/>
      <c r="B753" s="1608" t="s">
        <v>125</v>
      </c>
      <c r="C753" s="1609"/>
      <c r="D753" s="1609"/>
      <c r="E753" s="1609"/>
      <c r="F753" s="1610"/>
      <c r="G753" s="1621">
        <f>SUM(G718:G752)</f>
        <v>127</v>
      </c>
      <c r="H753" s="1622"/>
      <c r="I753" s="1622"/>
      <c r="J753" s="1623"/>
      <c r="K753" s="902" t="s">
        <v>124</v>
      </c>
      <c r="L753" s="5"/>
      <c r="M753" s="5"/>
      <c r="N753" s="46"/>
      <c r="O753" s="1496">
        <f>SUMPRODUCT(G718:G752,O718:O752)</f>
        <v>259561.8</v>
      </c>
      <c r="P753" s="1433"/>
      <c r="Q753" s="1433"/>
      <c r="R753" s="1433"/>
      <c r="S753" s="1497"/>
      <c r="T753"/>
      <c r="U753"/>
      <c r="V753"/>
      <c r="W753"/>
      <c r="X753" s="904" t="s">
        <v>899</v>
      </c>
      <c r="Y753" s="903"/>
      <c r="Z753" s="903"/>
      <c r="AA753" s="903"/>
      <c r="AB753" s="905"/>
      <c r="AC753" s="1626">
        <f>BH753</f>
        <v>0.59999999999999987</v>
      </c>
      <c r="AD753" s="1627"/>
      <c r="AE753" s="1627"/>
      <c r="AF753" s="1627"/>
      <c r="AG753" s="1628"/>
      <c r="AH753" s="1626">
        <f>IFERROR(BU753,"")</f>
        <v>0.60003513947133591</v>
      </c>
      <c r="AI753" s="1627"/>
      <c r="AJ753" s="1628"/>
      <c r="AK753"/>
      <c r="AL753"/>
      <c r="AM753"/>
      <c r="AN753"/>
      <c r="AO753"/>
      <c r="AP753" s="205"/>
      <c r="AQ753" s="205"/>
      <c r="AR753" s="205"/>
      <c r="AS753" s="205"/>
      <c r="AT753"/>
      <c r="AU753"/>
      <c r="AV753"/>
      <c r="AW753"/>
      <c r="AX753"/>
      <c r="AY753"/>
      <c r="AZ753" s="34"/>
      <c r="BA753" s="34"/>
      <c r="BB753" s="34"/>
      <c r="BC753" s="34"/>
      <c r="BE753" s="290" t="s">
        <v>898</v>
      </c>
      <c r="BF753" s="299">
        <f>SUM(BF718:BF752)</f>
        <v>127</v>
      </c>
      <c r="BG753" s="300">
        <f>SUM(BG718:BG752)</f>
        <v>1</v>
      </c>
      <c r="BH753" s="300">
        <f>SUM(BH718:BH752)</f>
        <v>0.59999999999999987</v>
      </c>
      <c r="BI753"/>
      <c r="BJ753"/>
      <c r="BK753"/>
      <c r="BL753"/>
      <c r="BO753"/>
      <c r="BP753"/>
      <c r="BQ753"/>
      <c r="BR753"/>
      <c r="BS753" s="859">
        <f>SUM(BS718:BS752)</f>
        <v>127</v>
      </c>
      <c r="BT753" s="300">
        <f>SUM(BT718:BT752)</f>
        <v>1</v>
      </c>
      <c r="BU753" s="300">
        <f>SUM(BU718:BU752)</f>
        <v>0.60003513947133591</v>
      </c>
      <c r="CI753" s="1468">
        <f>SUM(CI718:CJ752)</f>
        <v>13</v>
      </c>
      <c r="CJ753" s="1470"/>
      <c r="CM753" s="1468">
        <f>SUM(CM718:CN752)</f>
        <v>13</v>
      </c>
      <c r="CN753" s="1470"/>
      <c r="CP753" s="1468">
        <f>SUM(CP718:CT752)</f>
        <v>6</v>
      </c>
      <c r="CQ753" s="1469"/>
      <c r="CR753" s="1469"/>
      <c r="CS753" s="1469"/>
      <c r="CT753" s="1470"/>
      <c r="CU753" s="1475">
        <f>SUM(CU718:CY752)</f>
        <v>18</v>
      </c>
      <c r="CV753" s="1475"/>
      <c r="CW753" s="1475"/>
      <c r="CX753" s="1475"/>
      <c r="CY753" s="1475"/>
      <c r="CZ753" s="1475">
        <f>SUM(CZ718:DD752)</f>
        <v>66</v>
      </c>
      <c r="DA753" s="1475"/>
      <c r="DB753" s="1475"/>
      <c r="DC753" s="1475"/>
      <c r="DD753" s="1475"/>
      <c r="DE753" s="1475">
        <f>SUM(DE718:DI752)</f>
        <v>37</v>
      </c>
      <c r="DF753" s="1475"/>
      <c r="DG753" s="1475"/>
      <c r="DH753" s="1475"/>
      <c r="DI753" s="1475"/>
      <c r="DJ753" s="1475">
        <f>SUM(DJ718:DN752)</f>
        <v>0</v>
      </c>
      <c r="DK753" s="1475"/>
      <c r="DL753" s="1475"/>
      <c r="DM753" s="1475"/>
      <c r="DN753" s="1475"/>
      <c r="DO753" s="1475">
        <f>SUM(DO718:DS752)</f>
        <v>0</v>
      </c>
      <c r="DP753" s="1475"/>
      <c r="DQ753" s="1475"/>
      <c r="DR753" s="1475"/>
      <c r="DS753" s="1475"/>
      <c r="DT753" s="354"/>
      <c r="DU753" s="1475">
        <f>SUM(DU718:DY752)</f>
        <v>6</v>
      </c>
      <c r="DV753" s="1475"/>
      <c r="DW753" s="1475"/>
      <c r="DX753" s="1475"/>
      <c r="DY753" s="1475"/>
      <c r="DZ753" s="1475">
        <f>SUM(DZ718:ED752)</f>
        <v>7</v>
      </c>
      <c r="EA753" s="1475"/>
      <c r="EB753" s="1475"/>
      <c r="EC753" s="1475"/>
      <c r="ED753" s="1475"/>
      <c r="EE753" s="1475">
        <f>SUM(EE718:EI752)</f>
        <v>0</v>
      </c>
      <c r="EF753" s="1475"/>
      <c r="EG753" s="1475"/>
      <c r="EH753" s="1475"/>
      <c r="EI753" s="1475"/>
      <c r="EJ753" s="1475">
        <f>SUM(EJ718:EN752)</f>
        <v>0</v>
      </c>
      <c r="EK753" s="1475"/>
      <c r="EL753" s="1475"/>
      <c r="EM753" s="1475"/>
      <c r="EN753" s="1475"/>
      <c r="EO753" s="1475">
        <f>SUM(EO718:ES752)</f>
        <v>0</v>
      </c>
      <c r="EP753" s="1475"/>
      <c r="EQ753" s="1475"/>
      <c r="ER753" s="1475"/>
      <c r="ES753" s="1475"/>
      <c r="ET753" s="1475">
        <f>SUM(ET718:EX752)</f>
        <v>0</v>
      </c>
      <c r="EU753" s="1475"/>
      <c r="EV753" s="1475"/>
      <c r="EW753" s="1475"/>
      <c r="EX753" s="1475"/>
      <c r="EY753"/>
      <c r="EZ753" s="1475">
        <f>SUM(EZ718:FD752)</f>
        <v>764</v>
      </c>
      <c r="FA753" s="1475"/>
      <c r="FB753" s="1475"/>
      <c r="FC753" s="1475"/>
      <c r="FD753" s="1475"/>
      <c r="FE753" s="1475">
        <f>SUM(FE718:FI752)</f>
        <v>3847</v>
      </c>
      <c r="FF753" s="1475"/>
      <c r="FG753" s="1475"/>
      <c r="FH753" s="1475"/>
      <c r="FI753" s="1475"/>
      <c r="FJ753" s="1475">
        <f>SUM(FJ718:FN752)</f>
        <v>5963.6</v>
      </c>
      <c r="FK753" s="1475"/>
      <c r="FL753" s="1475"/>
      <c r="FM753" s="1475"/>
      <c r="FN753" s="1475"/>
      <c r="FO753" s="1475">
        <f>SUM(FO718:FS752)</f>
        <v>4589.6000000000004</v>
      </c>
      <c r="FP753" s="1475"/>
      <c r="FQ753" s="1475"/>
      <c r="FR753" s="1475"/>
      <c r="FS753" s="1475"/>
      <c r="FT753" s="1475">
        <f>SUM(FT718:FX752)</f>
        <v>0</v>
      </c>
      <c r="FU753" s="1475"/>
      <c r="FV753" s="1475"/>
      <c r="FW753" s="1475"/>
      <c r="FX753" s="1475"/>
      <c r="FY753" s="1475">
        <f>SUM(FY718:GC752)</f>
        <v>0</v>
      </c>
      <c r="FZ753" s="1475"/>
      <c r="GA753" s="1475"/>
      <c r="GB753" s="1475"/>
      <c r="GC753" s="1475"/>
    </row>
    <row r="754" spans="1:185" s="3" customFormat="1" ht="12.95" customHeight="1">
      <c r="A754"/>
      <c r="B754" s="1632" t="s">
        <v>1892</v>
      </c>
      <c r="C754" s="1632"/>
      <c r="D754" s="1632"/>
      <c r="E754" s="1632"/>
      <c r="F754" s="1632"/>
      <c r="G754" s="1632"/>
      <c r="H754" s="1632"/>
      <c r="I754" s="1632"/>
      <c r="J754" s="1632"/>
      <c r="K754" s="1632"/>
      <c r="L754" s="1632"/>
      <c r="M754" s="1632"/>
      <c r="N754" s="1632"/>
      <c r="O754" s="1632"/>
      <c r="P754" s="1632"/>
      <c r="Q754" s="1632"/>
      <c r="R754" s="1632"/>
      <c r="S754" s="1632"/>
      <c r="T754" s="1632"/>
      <c r="U754" s="1632"/>
      <c r="V754" s="1632"/>
      <c r="W754" s="1632"/>
      <c r="X754" s="1632"/>
      <c r="Y754" s="1632"/>
      <c r="Z754" s="1632"/>
      <c r="AA754" s="1632"/>
      <c r="AB754" s="1632"/>
      <c r="AC754" s="1632"/>
      <c r="AD754" s="1632"/>
      <c r="AE754" s="1632"/>
      <c r="AF754" s="1632"/>
      <c r="AG754" s="1632"/>
      <c r="AH754" s="1632"/>
      <c r="AI754"/>
      <c r="AJ754"/>
      <c r="AK754"/>
      <c r="AT754"/>
      <c r="AU754"/>
      <c r="AV754"/>
      <c r="AW754"/>
      <c r="AX754"/>
      <c r="AY754"/>
      <c r="CD754"/>
      <c r="DN754" s="56" t="s">
        <v>1859</v>
      </c>
      <c r="DO754" s="1468">
        <f>CP753+CU753+CZ753+DE753+DJ753+DO753</f>
        <v>127</v>
      </c>
      <c r="DP754" s="1469"/>
      <c r="DQ754" s="1469"/>
      <c r="DR754" s="1469"/>
      <c r="DS754" s="1470"/>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32"/>
      <c r="C755" s="1632"/>
      <c r="D755" s="1632"/>
      <c r="E755" s="1632"/>
      <c r="F755" s="1632"/>
      <c r="G755" s="1632"/>
      <c r="H755" s="1632"/>
      <c r="I755" s="1632"/>
      <c r="J755" s="1632"/>
      <c r="K755" s="1632"/>
      <c r="L755" s="1632"/>
      <c r="M755" s="1632"/>
      <c r="N755" s="1632"/>
      <c r="O755" s="1632"/>
      <c r="P755" s="1632"/>
      <c r="Q755" s="1632"/>
      <c r="R755" s="1632"/>
      <c r="S755" s="1632"/>
      <c r="T755" s="1632"/>
      <c r="U755" s="1632"/>
      <c r="V755" s="1632"/>
      <c r="W755" s="1632"/>
      <c r="X755" s="1632"/>
      <c r="Y755" s="1632"/>
      <c r="Z755" s="1632"/>
      <c r="AA755" s="1632"/>
      <c r="AB755" s="1632"/>
      <c r="AC755" s="1632"/>
      <c r="AD755" s="1632"/>
      <c r="AE755" s="1632"/>
      <c r="AF755" s="1632"/>
      <c r="AG755" s="1632"/>
      <c r="AH755" s="163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v>
      </c>
      <c r="CU755" s="3"/>
      <c r="CV755" s="3"/>
      <c r="CW755" s="3"/>
      <c r="CX755" s="3"/>
      <c r="CY755" s="861">
        <f>CU753*1</f>
        <v>18</v>
      </c>
      <c r="CZ755" s="3"/>
      <c r="DA755" s="3"/>
      <c r="DB755" s="3"/>
      <c r="DC755" s="3"/>
      <c r="DD755" s="861">
        <f>CZ753*2</f>
        <v>132</v>
      </c>
      <c r="DE755" s="3"/>
      <c r="DF755" s="3"/>
      <c r="DG755" s="3"/>
      <c r="DH755" s="3"/>
      <c r="DI755" s="861">
        <f>DE753*3</f>
        <v>111</v>
      </c>
      <c r="DJ755" s="3"/>
      <c r="DK755" s="3"/>
      <c r="DL755" s="3"/>
      <c r="DM755" s="3"/>
      <c r="DN755" s="861">
        <f>DJ753*4</f>
        <v>0</v>
      </c>
      <c r="DO755" s="3"/>
      <c r="DP755" s="3"/>
      <c r="DQ755" s="3"/>
      <c r="DR755" s="3"/>
      <c r="DS755" s="861">
        <f>DO753*5</f>
        <v>0</v>
      </c>
      <c r="DU755" s="861">
        <f>CT755+CY755+DD755+DI755+DN755+DS755</f>
        <v>267</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75">
        <f>DU755</f>
        <v>267</v>
      </c>
      <c r="P756" s="1475"/>
      <c r="Q756" s="1475"/>
      <c r="R756" s="1475"/>
      <c r="S756" s="969"/>
      <c r="T756" s="969"/>
      <c r="U756" s="118" t="s">
        <v>1891</v>
      </c>
      <c r="V756" s="1032"/>
      <c r="W756" s="1032"/>
      <c r="X756" s="1032"/>
      <c r="Y756" s="1033"/>
      <c r="Z756" s="1033"/>
      <c r="AA756" s="1033"/>
      <c r="AB756" s="1033"/>
      <c r="AC756" s="1032"/>
      <c r="AD756" s="1032"/>
      <c r="AE756" s="1032"/>
      <c r="AF756" s="1032"/>
      <c r="AG756" s="1648">
        <v>0</v>
      </c>
      <c r="AH756" s="1648"/>
      <c r="AI756" s="1648"/>
      <c r="AJ756" s="164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69" t="str">
        <f>IF(G753&lt;&gt;AG440,"! Total Low-Income Units in the Unit Mix Table above does not match the number of Total Low-Income Units on row #"&amp;TEXT(ROW(D440),"#"),"")</f>
        <v/>
      </c>
      <c r="D757" s="1369"/>
      <c r="E757" s="1369"/>
      <c r="F757" s="1369"/>
      <c r="G757" s="1369"/>
      <c r="H757" s="1369"/>
      <c r="I757" s="1369"/>
      <c r="J757" s="1369"/>
      <c r="K757" s="1369"/>
      <c r="L757" s="1369"/>
      <c r="M757" s="1369"/>
      <c r="N757" s="1369"/>
      <c r="O757" s="1369"/>
      <c r="P757" s="1369"/>
      <c r="Q757" s="1369"/>
      <c r="R757" s="1369"/>
      <c r="S757" s="1369"/>
      <c r="T757" s="1369"/>
      <c r="U757" s="1369"/>
      <c r="V757" s="1369"/>
      <c r="W757" s="1369"/>
      <c r="X757" s="1369"/>
      <c r="Y757" s="1369"/>
      <c r="Z757" s="1369"/>
      <c r="AA757" s="1369"/>
      <c r="AB757" s="1369"/>
      <c r="AC757" s="1369"/>
      <c r="AD757" s="1369"/>
      <c r="AE757" s="1369"/>
      <c r="AF757" s="1369"/>
      <c r="AG757" s="1369"/>
      <c r="AH757" s="1369"/>
      <c r="AI757" s="1369"/>
      <c r="AJ757" s="1369"/>
      <c r="AK757" s="1369"/>
      <c r="AL757" s="1369"/>
      <c r="AM757" s="136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69"/>
      <c r="D758" s="1369"/>
      <c r="E758" s="1369"/>
      <c r="F758" s="1369"/>
      <c r="G758" s="1369"/>
      <c r="H758" s="1369"/>
      <c r="I758" s="1369"/>
      <c r="J758" s="1369"/>
      <c r="K758" s="1369"/>
      <c r="L758" s="1369"/>
      <c r="M758" s="1369"/>
      <c r="N758" s="1369"/>
      <c r="O758" s="1369"/>
      <c r="P758" s="1369"/>
      <c r="Q758" s="1369"/>
      <c r="R758" s="1369"/>
      <c r="S758" s="1369"/>
      <c r="T758" s="1369"/>
      <c r="U758" s="1369"/>
      <c r="V758" s="1369"/>
      <c r="W758" s="1369"/>
      <c r="X758" s="1369"/>
      <c r="Y758" s="1369"/>
      <c r="Z758" s="1369"/>
      <c r="AA758" s="1369"/>
      <c r="AB758" s="1369"/>
      <c r="AC758" s="1369"/>
      <c r="AD758" s="1369"/>
      <c r="AE758" s="1369"/>
      <c r="AF758" s="1369"/>
      <c r="AG758" s="1369"/>
      <c r="AH758" s="1369"/>
      <c r="AI758" s="1369"/>
      <c r="AJ758" s="1369"/>
      <c r="AK758" s="1369"/>
      <c r="AL758" s="1369"/>
      <c r="AM758" s="136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11" t="s">
        <v>388</v>
      </c>
      <c r="K769" s="1612"/>
      <c r="L769" s="1612"/>
      <c r="M769" s="1612"/>
      <c r="N769" s="1613"/>
      <c r="O769" s="1737" t="s">
        <v>284</v>
      </c>
      <c r="P769" s="1737"/>
      <c r="Q769" s="1737"/>
      <c r="R769" s="1737"/>
      <c r="S769" s="1737"/>
      <c r="T769" s="1633" t="s">
        <v>1677</v>
      </c>
      <c r="U769" s="1634"/>
      <c r="V769" s="1634"/>
      <c r="W769" s="1635"/>
      <c r="X769" s="1611" t="s">
        <v>446</v>
      </c>
      <c r="Y769" s="1612"/>
      <c r="Z769" s="1612"/>
      <c r="AA769" s="1612"/>
      <c r="AB769" s="1613"/>
      <c r="AC769" s="1611" t="s">
        <v>285</v>
      </c>
      <c r="AD769" s="1612"/>
      <c r="AE769" s="1612"/>
      <c r="AF769" s="1612"/>
      <c r="AG769" s="161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614"/>
      <c r="K770" s="1615"/>
      <c r="L770" s="1615"/>
      <c r="M770" s="1615"/>
      <c r="N770" s="1616"/>
      <c r="O770" s="1737"/>
      <c r="P770" s="1737"/>
      <c r="Q770" s="1737"/>
      <c r="R770" s="1737"/>
      <c r="S770" s="1737"/>
      <c r="T770" s="1636"/>
      <c r="U770" s="1637"/>
      <c r="V770" s="1637"/>
      <c r="W770" s="1638"/>
      <c r="X770" s="1614"/>
      <c r="Y770" s="1615"/>
      <c r="Z770" s="1615"/>
      <c r="AA770" s="1615"/>
      <c r="AB770" s="1616"/>
      <c r="AC770" s="1614"/>
      <c r="AD770" s="1615"/>
      <c r="AE770" s="1615"/>
      <c r="AF770" s="1615"/>
      <c r="AG770" s="161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614"/>
      <c r="K771" s="1615"/>
      <c r="L771" s="1615"/>
      <c r="M771" s="1615"/>
      <c r="N771" s="1616"/>
      <c r="O771" s="1737"/>
      <c r="P771" s="1737"/>
      <c r="Q771" s="1737"/>
      <c r="R771" s="1737"/>
      <c r="S771" s="1737"/>
      <c r="T771" s="1636"/>
      <c r="U771" s="1637"/>
      <c r="V771" s="1637"/>
      <c r="W771" s="1638"/>
      <c r="X771" s="1614"/>
      <c r="Y771" s="1615"/>
      <c r="Z771" s="1615"/>
      <c r="AA771" s="1615"/>
      <c r="AB771" s="1616"/>
      <c r="AC771" s="1614"/>
      <c r="AD771" s="1615"/>
      <c r="AE771" s="1615"/>
      <c r="AF771" s="1615"/>
      <c r="AG771" s="161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617"/>
      <c r="K772" s="1618"/>
      <c r="L772" s="1618"/>
      <c r="M772" s="1618"/>
      <c r="N772" s="1619"/>
      <c r="O772" s="1737"/>
      <c r="P772" s="1737"/>
      <c r="Q772" s="1737"/>
      <c r="R772" s="1737"/>
      <c r="S772" s="1737"/>
      <c r="T772" s="1639"/>
      <c r="U772" s="1640"/>
      <c r="V772" s="1640"/>
      <c r="W772" s="1641"/>
      <c r="X772" s="1617"/>
      <c r="Y772" s="1618"/>
      <c r="Z772" s="1618"/>
      <c r="AA772" s="1618"/>
      <c r="AB772" s="1619"/>
      <c r="AC772" s="1617"/>
      <c r="AD772" s="1618"/>
      <c r="AE772" s="1618"/>
      <c r="AF772" s="1618"/>
      <c r="AG772" s="161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82" t="s">
        <v>163</v>
      </c>
      <c r="K773" s="1383"/>
      <c r="L773" s="1383"/>
      <c r="M773" s="1383"/>
      <c r="N773" s="1384"/>
      <c r="O773" s="1625">
        <v>1</v>
      </c>
      <c r="P773" s="1625"/>
      <c r="Q773" s="1625"/>
      <c r="R773" s="1625"/>
      <c r="S773" s="1625"/>
      <c r="T773" s="1347">
        <v>869</v>
      </c>
      <c r="U773" s="1348"/>
      <c r="V773" s="1348"/>
      <c r="W773" s="1349"/>
      <c r="X773" s="1344">
        <v>3350</v>
      </c>
      <c r="Y773" s="1345"/>
      <c r="Z773" s="1345"/>
      <c r="AA773" s="1345"/>
      <c r="AB773" s="1346"/>
      <c r="AC773" s="1496">
        <f>X773*O773</f>
        <v>3350</v>
      </c>
      <c r="AD773" s="1433"/>
      <c r="AE773" s="1433"/>
      <c r="AF773" s="1433"/>
      <c r="AG773" s="149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2">
        <f>IF(J773="SRO/Studio",O773,0)</f>
        <v>0</v>
      </c>
      <c r="CQ773" s="1473"/>
      <c r="CR773" s="1473"/>
      <c r="CS773" s="1473"/>
      <c r="CT773" s="1474"/>
      <c r="CU773" s="1455">
        <f>IF(J773="1 Bedroom",O773,0)</f>
        <v>0</v>
      </c>
      <c r="CV773" s="1455"/>
      <c r="CW773" s="1455"/>
      <c r="CX773" s="1455"/>
      <c r="CY773" s="1455"/>
      <c r="CZ773" s="1455">
        <f>IF(J773="2 Bedrooms",O773,0)</f>
        <v>1</v>
      </c>
      <c r="DA773" s="1455"/>
      <c r="DB773" s="1455"/>
      <c r="DC773" s="1455"/>
      <c r="DD773" s="1455"/>
      <c r="DE773" s="1455">
        <f>IF(J773="3 Bedrooms",O773,0)</f>
        <v>0</v>
      </c>
      <c r="DF773" s="1455"/>
      <c r="DG773" s="1455"/>
      <c r="DH773" s="1455"/>
      <c r="DI773" s="1455"/>
      <c r="DJ773" s="1455">
        <f>IF(J773="4 Bedrooms",O773,0)</f>
        <v>0</v>
      </c>
      <c r="DK773" s="1455"/>
      <c r="DL773" s="1455"/>
      <c r="DM773" s="1455"/>
      <c r="DN773" s="1455"/>
      <c r="DO773" s="1455">
        <f>IF(J773="5 Bedrooms",O773,0)</f>
        <v>0</v>
      </c>
      <c r="DP773" s="1455"/>
      <c r="DQ773" s="1455"/>
      <c r="DR773" s="1455"/>
      <c r="DS773" s="1455"/>
      <c r="DT773" s="6"/>
      <c r="DU773" s="3"/>
      <c r="DV773" s="3"/>
    </row>
    <row r="774" spans="1:126" ht="12.95" customHeight="1">
      <c r="J774" s="1382"/>
      <c r="K774" s="1383"/>
      <c r="L774" s="1383"/>
      <c r="M774" s="1383"/>
      <c r="N774" s="1384"/>
      <c r="O774" s="1625"/>
      <c r="P774" s="1625"/>
      <c r="Q774" s="1625"/>
      <c r="R774" s="1625"/>
      <c r="S774" s="1625"/>
      <c r="T774" s="1347"/>
      <c r="U774" s="1348"/>
      <c r="V774" s="1348"/>
      <c r="W774" s="1349"/>
      <c r="X774" s="1344"/>
      <c r="Y774" s="1345"/>
      <c r="Z774" s="1345"/>
      <c r="AA774" s="1345"/>
      <c r="AB774" s="1346"/>
      <c r="AC774" s="1496">
        <f>X774*O774</f>
        <v>0</v>
      </c>
      <c r="AD774" s="1433"/>
      <c r="AE774" s="1433"/>
      <c r="AF774" s="1433"/>
      <c r="AG774" s="149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2">
        <f>IF(J774="SRO/Studio",O774,0)</f>
        <v>0</v>
      </c>
      <c r="CQ774" s="1473"/>
      <c r="CR774" s="1473"/>
      <c r="CS774" s="1473"/>
      <c r="CT774" s="1474"/>
      <c r="CU774" s="1455">
        <f>IF(J774="1 Bedroom",O774,0)</f>
        <v>0</v>
      </c>
      <c r="CV774" s="1455"/>
      <c r="CW774" s="1455"/>
      <c r="CX774" s="1455"/>
      <c r="CY774" s="1455"/>
      <c r="CZ774" s="1455">
        <f>IF(J774="2 Bedrooms",O774,0)</f>
        <v>0</v>
      </c>
      <c r="DA774" s="1455"/>
      <c r="DB774" s="1455"/>
      <c r="DC774" s="1455"/>
      <c r="DD774" s="1455"/>
      <c r="DE774" s="1455">
        <f>IF(J774="3 Bedrooms",O774,0)</f>
        <v>0</v>
      </c>
      <c r="DF774" s="1455"/>
      <c r="DG774" s="1455"/>
      <c r="DH774" s="1455"/>
      <c r="DI774" s="1455"/>
      <c r="DJ774" s="1455">
        <f>IF(J774="4 Bedrooms",O774,0)</f>
        <v>0</v>
      </c>
      <c r="DK774" s="1455"/>
      <c r="DL774" s="1455"/>
      <c r="DM774" s="1455"/>
      <c r="DN774" s="1455"/>
      <c r="DO774" s="1455">
        <f>IF(J774="5 Bedrooms",O774,0)</f>
        <v>0</v>
      </c>
      <c r="DP774" s="1455"/>
      <c r="DQ774" s="1455"/>
      <c r="DR774" s="1455"/>
      <c r="DS774" s="1455"/>
      <c r="DT774" s="6"/>
      <c r="DU774" s="3"/>
      <c r="DV774" s="3"/>
    </row>
    <row r="775" spans="1:126" ht="12.95" customHeight="1">
      <c r="J775" s="1382"/>
      <c r="K775" s="1383"/>
      <c r="L775" s="1383"/>
      <c r="M775" s="1383"/>
      <c r="N775" s="1384"/>
      <c r="O775" s="1625"/>
      <c r="P775" s="1625"/>
      <c r="Q775" s="1625"/>
      <c r="R775" s="1625"/>
      <c r="S775" s="1625"/>
      <c r="T775" s="1347"/>
      <c r="U775" s="1348"/>
      <c r="V775" s="1348"/>
      <c r="W775" s="1349"/>
      <c r="X775" s="1344"/>
      <c r="Y775" s="1345"/>
      <c r="Z775" s="1345"/>
      <c r="AA775" s="1345"/>
      <c r="AB775" s="1346"/>
      <c r="AC775" s="1496">
        <f>X775*O775</f>
        <v>0</v>
      </c>
      <c r="AD775" s="1433"/>
      <c r="AE775" s="1433"/>
      <c r="AF775" s="1433"/>
      <c r="AG775" s="149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2">
        <f>IF(J775="SRO/Studio",O775,0)</f>
        <v>0</v>
      </c>
      <c r="CQ775" s="1473"/>
      <c r="CR775" s="1473"/>
      <c r="CS775" s="1473"/>
      <c r="CT775" s="1474"/>
      <c r="CU775" s="1455">
        <f>IF(J775="1 Bedroom",O775,0)</f>
        <v>0</v>
      </c>
      <c r="CV775" s="1455"/>
      <c r="CW775" s="1455"/>
      <c r="CX775" s="1455"/>
      <c r="CY775" s="1455"/>
      <c r="CZ775" s="1455">
        <f>IF(J775="2 Bedrooms",O775,0)</f>
        <v>0</v>
      </c>
      <c r="DA775" s="1455"/>
      <c r="DB775" s="1455"/>
      <c r="DC775" s="1455"/>
      <c r="DD775" s="1455"/>
      <c r="DE775" s="1455">
        <f>IF(J775="3 Bedrooms",O775,0)</f>
        <v>0</v>
      </c>
      <c r="DF775" s="1455"/>
      <c r="DG775" s="1455"/>
      <c r="DH775" s="1455"/>
      <c r="DI775" s="1455"/>
      <c r="DJ775" s="1455">
        <f>IF(J775="4 Bedrooms",O775,0)</f>
        <v>0</v>
      </c>
      <c r="DK775" s="1455"/>
      <c r="DL775" s="1455"/>
      <c r="DM775" s="1455"/>
      <c r="DN775" s="1455"/>
      <c r="DO775" s="1455">
        <f>IF(J775="5 Bedrooms",O775,0)</f>
        <v>0</v>
      </c>
      <c r="DP775" s="1455"/>
      <c r="DQ775" s="1455"/>
      <c r="DR775" s="1455"/>
      <c r="DS775" s="1455"/>
      <c r="DT775" s="1012"/>
    </row>
    <row r="776" spans="1:126" ht="12.95" customHeight="1">
      <c r="J776" s="1382"/>
      <c r="K776" s="1383"/>
      <c r="L776" s="1383"/>
      <c r="M776" s="1383"/>
      <c r="N776" s="1384"/>
      <c r="O776" s="1625"/>
      <c r="P776" s="1625"/>
      <c r="Q776" s="1625"/>
      <c r="R776" s="1625"/>
      <c r="S776" s="1625"/>
      <c r="T776" s="1347"/>
      <c r="U776" s="1348"/>
      <c r="V776" s="1348"/>
      <c r="W776" s="1349"/>
      <c r="X776" s="1344"/>
      <c r="Y776" s="1345"/>
      <c r="Z776" s="1345"/>
      <c r="AA776" s="1345"/>
      <c r="AB776" s="1346"/>
      <c r="AC776" s="1496">
        <f>X776*O776</f>
        <v>0</v>
      </c>
      <c r="AD776" s="1433"/>
      <c r="AE776" s="1433"/>
      <c r="AF776" s="1433"/>
      <c r="AG776" s="149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2">
        <f>IF(J776="SRO/Studio",O776,0)</f>
        <v>0</v>
      </c>
      <c r="CQ776" s="1473"/>
      <c r="CR776" s="1473"/>
      <c r="CS776" s="1473"/>
      <c r="CT776" s="1474"/>
      <c r="CU776" s="1455">
        <f>IF(J776="1 Bedroom",O776,0)</f>
        <v>0</v>
      </c>
      <c r="CV776" s="1455"/>
      <c r="CW776" s="1455"/>
      <c r="CX776" s="1455"/>
      <c r="CY776" s="1455"/>
      <c r="CZ776" s="1455">
        <f>IF(J776="2 Bedrooms",O776,0)</f>
        <v>0</v>
      </c>
      <c r="DA776" s="1455"/>
      <c r="DB776" s="1455"/>
      <c r="DC776" s="1455"/>
      <c r="DD776" s="1455"/>
      <c r="DE776" s="1455">
        <f>IF(J776="3 Bedrooms",O776,0)</f>
        <v>0</v>
      </c>
      <c r="DF776" s="1455"/>
      <c r="DG776" s="1455"/>
      <c r="DH776" s="1455"/>
      <c r="DI776" s="1455"/>
      <c r="DJ776" s="1455">
        <f>IF(J776="4 Bedrooms",O776,0)</f>
        <v>0</v>
      </c>
      <c r="DK776" s="1455"/>
      <c r="DL776" s="1455"/>
      <c r="DM776" s="1455"/>
      <c r="DN776" s="1455"/>
      <c r="DO776" s="1455">
        <f>IF(J776="5 Bedrooms",O776,0)</f>
        <v>0</v>
      </c>
      <c r="DP776" s="1455"/>
      <c r="DQ776" s="1455"/>
      <c r="DR776" s="1455"/>
      <c r="DS776" s="1455"/>
    </row>
    <row r="777" spans="1:126" ht="12.95" customHeight="1">
      <c r="J777" s="1608" t="s">
        <v>125</v>
      </c>
      <c r="K777" s="1609"/>
      <c r="L777" s="1609"/>
      <c r="M777" s="1609"/>
      <c r="N777" s="1610"/>
      <c r="O777" s="1480">
        <f>SUM(O773:S776)</f>
        <v>1</v>
      </c>
      <c r="P777" s="1482"/>
      <c r="Q777" s="1482"/>
      <c r="R777" s="1482"/>
      <c r="S777" s="1481"/>
      <c r="X777" s="1608" t="s">
        <v>124</v>
      </c>
      <c r="Y777" s="1609"/>
      <c r="Z777" s="1609"/>
      <c r="AA777" s="1609"/>
      <c r="AB777" s="1610"/>
      <c r="AC777" s="1496">
        <f>SUM(AC773:AG776)</f>
        <v>3350</v>
      </c>
      <c r="AD777" s="1433"/>
      <c r="AE777" s="1433"/>
      <c r="AF777" s="1433"/>
      <c r="AG777" s="149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0">
        <f>SUM(CP773:CT776)</f>
        <v>0</v>
      </c>
      <c r="CQ777" s="1482"/>
      <c r="CR777" s="1482"/>
      <c r="CS777" s="1482"/>
      <c r="CT777" s="1481"/>
      <c r="CU777" s="1483">
        <f>SUM(CU773:CY776)</f>
        <v>0</v>
      </c>
      <c r="CV777" s="1484"/>
      <c r="CW777" s="1484"/>
      <c r="CX777" s="1484"/>
      <c r="CY777" s="1485"/>
      <c r="CZ777" s="1483">
        <f>SUM(CZ773:DD776)</f>
        <v>1</v>
      </c>
      <c r="DA777" s="1484"/>
      <c r="DB777" s="1484"/>
      <c r="DC777" s="1484"/>
      <c r="DD777" s="1485"/>
      <c r="DE777" s="1483">
        <f>SUM(DE773:DI776)</f>
        <v>0</v>
      </c>
      <c r="DF777" s="1484"/>
      <c r="DG777" s="1484"/>
      <c r="DH777" s="1484"/>
      <c r="DI777" s="1485"/>
      <c r="DJ777" s="1483">
        <f>SUM(DJ773:DN776)</f>
        <v>0</v>
      </c>
      <c r="DK777" s="1484"/>
      <c r="DL777" s="1484"/>
      <c r="DM777" s="1484"/>
      <c r="DN777" s="1485"/>
      <c r="DO777" s="1483">
        <f>SUM(DO773:DS776)</f>
        <v>0</v>
      </c>
      <c r="DP777" s="1484"/>
      <c r="DQ777" s="1484"/>
      <c r="DR777" s="1484"/>
      <c r="DS777" s="1485"/>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2.95" customHeight="1">
      <c r="B779" s="56"/>
      <c r="C779" s="56"/>
      <c r="D779" s="56"/>
      <c r="E779" s="56"/>
      <c r="F779" s="56"/>
      <c r="G779" s="6"/>
      <c r="H779" s="6"/>
      <c r="I779" s="6"/>
      <c r="J779" s="1745" t="s">
        <v>668</v>
      </c>
      <c r="K779" s="1745"/>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11" t="s">
        <v>388</v>
      </c>
      <c r="K783" s="1612"/>
      <c r="L783" s="1612"/>
      <c r="M783" s="1612"/>
      <c r="N783" s="1613"/>
      <c r="O783" s="1737" t="s">
        <v>284</v>
      </c>
      <c r="P783" s="1737"/>
      <c r="Q783" s="1737"/>
      <c r="R783" s="1737"/>
      <c r="S783" s="1737"/>
      <c r="T783" s="1633" t="s">
        <v>1677</v>
      </c>
      <c r="U783" s="1634"/>
      <c r="V783" s="1634"/>
      <c r="W783" s="1635"/>
      <c r="X783" s="1611" t="s">
        <v>446</v>
      </c>
      <c r="Y783" s="1612"/>
      <c r="Z783" s="1612"/>
      <c r="AA783" s="1612"/>
      <c r="AB783" s="1613"/>
      <c r="AC783" s="1611" t="s">
        <v>285</v>
      </c>
      <c r="AD783" s="1612"/>
      <c r="AE783" s="1612"/>
      <c r="AF783" s="1612"/>
      <c r="AG783" s="161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614"/>
      <c r="K784" s="1615"/>
      <c r="L784" s="1615"/>
      <c r="M784" s="1615"/>
      <c r="N784" s="1616"/>
      <c r="O784" s="1737"/>
      <c r="P784" s="1737"/>
      <c r="Q784" s="1737"/>
      <c r="R784" s="1737"/>
      <c r="S784" s="1737"/>
      <c r="T784" s="1636"/>
      <c r="U784" s="1637"/>
      <c r="V784" s="1637"/>
      <c r="W784" s="1638"/>
      <c r="X784" s="1614"/>
      <c r="Y784" s="1615"/>
      <c r="Z784" s="1615"/>
      <c r="AA784" s="1615"/>
      <c r="AB784" s="1616"/>
      <c r="AC784" s="1614"/>
      <c r="AD784" s="1615"/>
      <c r="AE784" s="1615"/>
      <c r="AF784" s="1615"/>
      <c r="AG784" s="16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614"/>
      <c r="K785" s="1615"/>
      <c r="L785" s="1615"/>
      <c r="M785" s="1615"/>
      <c r="N785" s="1616"/>
      <c r="O785" s="1737"/>
      <c r="P785" s="1737"/>
      <c r="Q785" s="1737"/>
      <c r="R785" s="1737"/>
      <c r="S785" s="1737"/>
      <c r="T785" s="1636"/>
      <c r="U785" s="1637"/>
      <c r="V785" s="1637"/>
      <c r="W785" s="1638"/>
      <c r="X785" s="1614"/>
      <c r="Y785" s="1615"/>
      <c r="Z785" s="1615"/>
      <c r="AA785" s="1615"/>
      <c r="AB785" s="1616"/>
      <c r="AC785" s="1614"/>
      <c r="AD785" s="1615"/>
      <c r="AE785" s="1615"/>
      <c r="AF785" s="1615"/>
      <c r="AG785" s="16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617"/>
      <c r="K786" s="1618"/>
      <c r="L786" s="1618"/>
      <c r="M786" s="1618"/>
      <c r="N786" s="1619"/>
      <c r="O786" s="1737"/>
      <c r="P786" s="1737"/>
      <c r="Q786" s="1737"/>
      <c r="R786" s="1737"/>
      <c r="S786" s="1737"/>
      <c r="T786" s="1639"/>
      <c r="U786" s="1640"/>
      <c r="V786" s="1640"/>
      <c r="W786" s="1641"/>
      <c r="X786" s="1617"/>
      <c r="Y786" s="1618"/>
      <c r="Z786" s="1618"/>
      <c r="AA786" s="1618"/>
      <c r="AB786" s="1619"/>
      <c r="AC786" s="1617"/>
      <c r="AD786" s="1618"/>
      <c r="AE786" s="1618"/>
      <c r="AF786" s="1618"/>
      <c r="AG786" s="161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82"/>
      <c r="K787" s="1383"/>
      <c r="L787" s="1383"/>
      <c r="M787" s="1383"/>
      <c r="N787" s="1384"/>
      <c r="O787" s="1625"/>
      <c r="P787" s="1625"/>
      <c r="Q787" s="1625"/>
      <c r="R787" s="1625"/>
      <c r="S787" s="1625"/>
      <c r="T787" s="1347"/>
      <c r="U787" s="1348"/>
      <c r="V787" s="1348"/>
      <c r="W787" s="1349"/>
      <c r="X787" s="1344"/>
      <c r="Y787" s="1345"/>
      <c r="Z787" s="1345"/>
      <c r="AA787" s="1345"/>
      <c r="AB787" s="1346"/>
      <c r="AC787" s="1496">
        <f t="shared" ref="AC787:AC796" si="40">X787*O787</f>
        <v>0</v>
      </c>
      <c r="AD787" s="1433"/>
      <c r="AE787" s="1433"/>
      <c r="AF787" s="1433"/>
      <c r="AG787" s="149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2">
        <f t="shared" ref="CP787:CP796" si="41">IF(J787="SRO/Studio",O787,0)</f>
        <v>0</v>
      </c>
      <c r="CQ787" s="1473"/>
      <c r="CR787" s="1473"/>
      <c r="CS787" s="1473"/>
      <c r="CT787" s="1474"/>
      <c r="CU787" s="1472">
        <f t="shared" ref="CU787:CU796" si="42">IF(J787="1 Bedroom",O787,0)</f>
        <v>0</v>
      </c>
      <c r="CV787" s="1473"/>
      <c r="CW787" s="1473"/>
      <c r="CX787" s="1473"/>
      <c r="CY787" s="1474"/>
      <c r="CZ787" s="1472">
        <f t="shared" ref="CZ787:CZ796" si="43">IF(J787="2 Bedrooms",O787,0)</f>
        <v>0</v>
      </c>
      <c r="DA787" s="1473"/>
      <c r="DB787" s="1473"/>
      <c r="DC787" s="1473"/>
      <c r="DD787" s="1474"/>
      <c r="DE787" s="1472">
        <f t="shared" ref="DE787:DE796" si="44">IF(J787="3 Bedrooms",O787,0)</f>
        <v>0</v>
      </c>
      <c r="DF787" s="1473"/>
      <c r="DG787" s="1473"/>
      <c r="DH787" s="1473"/>
      <c r="DI787" s="1474"/>
      <c r="DJ787" s="1472">
        <f t="shared" ref="DJ787:DJ796" si="45">IF(J787="4 Bedrooms",O787,0)</f>
        <v>0</v>
      </c>
      <c r="DK787" s="1473"/>
      <c r="DL787" s="1473"/>
      <c r="DM787" s="1473"/>
      <c r="DN787" s="1474"/>
      <c r="DO787" s="1472">
        <f t="shared" ref="DO787:DO796" si="46">IF(J787="5 Bedrooms",O787,0)</f>
        <v>0</v>
      </c>
      <c r="DP787" s="1473"/>
      <c r="DQ787" s="1473"/>
      <c r="DR787" s="1473"/>
      <c r="DS787" s="1474"/>
      <c r="DT787" s="6"/>
      <c r="DU787" s="1472">
        <f t="shared" ref="DU787:DU796" si="47">IF(AND(CP787&gt;=1,AH787&gt;=0.1,AH787&lt;=1),O787,0)</f>
        <v>0</v>
      </c>
      <c r="DV787" s="1473"/>
      <c r="DW787" s="1473"/>
      <c r="DX787" s="1473"/>
      <c r="DY787" s="1474"/>
      <c r="DZ787" s="1472">
        <f t="shared" ref="DZ787:DZ796" si="48">IF(AND(CU787&gt;=1,AH787&gt;=0.1,AH787&lt;=1),O787,0)</f>
        <v>0</v>
      </c>
      <c r="EA787" s="1473"/>
      <c r="EB787" s="1473"/>
      <c r="EC787" s="1473"/>
      <c r="ED787" s="1474"/>
      <c r="EE787" s="1472">
        <f t="shared" ref="EE787:EE796" si="49">IF(AND(CZ787&gt;=1,AH787&gt;=0.1,AH787&lt;=1),O787,0)</f>
        <v>0</v>
      </c>
      <c r="EF787" s="1473"/>
      <c r="EG787" s="1473"/>
      <c r="EH787" s="1473"/>
      <c r="EI787" s="1474"/>
      <c r="EJ787" s="1472">
        <f t="shared" ref="EJ787:EJ796" si="50">IF(AND(DE787&gt;=1,AH787&gt;=0.1,AH787&lt;=1),O787,0)</f>
        <v>0</v>
      </c>
      <c r="EK787" s="1473"/>
      <c r="EL787" s="1473"/>
      <c r="EM787" s="1473"/>
      <c r="EN787" s="1474"/>
      <c r="EO787" s="1472">
        <f t="shared" ref="EO787:EO796" si="51">IF(AND(DJ787&gt;=1,AH787&gt;=0.1,AH787&lt;=1),O787,0)</f>
        <v>0</v>
      </c>
      <c r="EP787" s="1473"/>
      <c r="EQ787" s="1473"/>
      <c r="ER787" s="1473"/>
      <c r="ES787" s="1474"/>
      <c r="ET787" s="1472">
        <f t="shared" ref="ET787:ET796" si="52">IF(AND(DO787&gt;=1,AH787&gt;=0.1,AH787&lt;=1),O787,0)</f>
        <v>0</v>
      </c>
      <c r="EU787" s="1473"/>
      <c r="EV787" s="1473"/>
      <c r="EW787" s="1473"/>
      <c r="EX787" s="1474"/>
    </row>
    <row r="788" spans="1:154" s="14" customFormat="1" ht="12.95" customHeight="1">
      <c r="A788"/>
      <c r="B788"/>
      <c r="C788"/>
      <c r="D788"/>
      <c r="E788"/>
      <c r="F788"/>
      <c r="G788"/>
      <c r="H788"/>
      <c r="I788"/>
      <c r="J788" s="1382"/>
      <c r="K788" s="1383"/>
      <c r="L788" s="1383"/>
      <c r="M788" s="1383"/>
      <c r="N788" s="1384"/>
      <c r="O788" s="1625"/>
      <c r="P788" s="1625"/>
      <c r="Q788" s="1625"/>
      <c r="R788" s="1625"/>
      <c r="S788" s="1625"/>
      <c r="T788" s="1347"/>
      <c r="U788" s="1348"/>
      <c r="V788" s="1348"/>
      <c r="W788" s="1349"/>
      <c r="X788" s="1344"/>
      <c r="Y788" s="1345"/>
      <c r="Z788" s="1345"/>
      <c r="AA788" s="1345"/>
      <c r="AB788" s="1346"/>
      <c r="AC788" s="1496">
        <f t="shared" si="40"/>
        <v>0</v>
      </c>
      <c r="AD788" s="1433"/>
      <c r="AE788" s="1433"/>
      <c r="AF788" s="1433"/>
      <c r="AG788" s="149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2">
        <f t="shared" si="41"/>
        <v>0</v>
      </c>
      <c r="CQ788" s="1473"/>
      <c r="CR788" s="1473"/>
      <c r="CS788" s="1473"/>
      <c r="CT788" s="1474"/>
      <c r="CU788" s="1472">
        <f t="shared" si="42"/>
        <v>0</v>
      </c>
      <c r="CV788" s="1473"/>
      <c r="CW788" s="1473"/>
      <c r="CX788" s="1473"/>
      <c r="CY788" s="1474"/>
      <c r="CZ788" s="1472">
        <f t="shared" si="43"/>
        <v>0</v>
      </c>
      <c r="DA788" s="1473"/>
      <c r="DB788" s="1473"/>
      <c r="DC788" s="1473"/>
      <c r="DD788" s="1474"/>
      <c r="DE788" s="1472">
        <f t="shared" si="44"/>
        <v>0</v>
      </c>
      <c r="DF788" s="1473"/>
      <c r="DG788" s="1473"/>
      <c r="DH788" s="1473"/>
      <c r="DI788" s="1474"/>
      <c r="DJ788" s="1472">
        <f t="shared" si="45"/>
        <v>0</v>
      </c>
      <c r="DK788" s="1473"/>
      <c r="DL788" s="1473"/>
      <c r="DM788" s="1473"/>
      <c r="DN788" s="1474"/>
      <c r="DO788" s="1472">
        <f t="shared" si="46"/>
        <v>0</v>
      </c>
      <c r="DP788" s="1473"/>
      <c r="DQ788" s="1473"/>
      <c r="DR788" s="1473"/>
      <c r="DS788" s="1474"/>
      <c r="DT788" s="6"/>
      <c r="DU788" s="1472">
        <f t="shared" si="47"/>
        <v>0</v>
      </c>
      <c r="DV788" s="1473"/>
      <c r="DW788" s="1473"/>
      <c r="DX788" s="1473"/>
      <c r="DY788" s="1474"/>
      <c r="DZ788" s="1472">
        <f t="shared" si="48"/>
        <v>0</v>
      </c>
      <c r="EA788" s="1473"/>
      <c r="EB788" s="1473"/>
      <c r="EC788" s="1473"/>
      <c r="ED788" s="1474"/>
      <c r="EE788" s="1472">
        <f t="shared" si="49"/>
        <v>0</v>
      </c>
      <c r="EF788" s="1473"/>
      <c r="EG788" s="1473"/>
      <c r="EH788" s="1473"/>
      <c r="EI788" s="1474"/>
      <c r="EJ788" s="1472">
        <f t="shared" si="50"/>
        <v>0</v>
      </c>
      <c r="EK788" s="1473"/>
      <c r="EL788" s="1473"/>
      <c r="EM788" s="1473"/>
      <c r="EN788" s="1474"/>
      <c r="EO788" s="1472">
        <f t="shared" si="51"/>
        <v>0</v>
      </c>
      <c r="EP788" s="1473"/>
      <c r="EQ788" s="1473"/>
      <c r="ER788" s="1473"/>
      <c r="ES788" s="1474"/>
      <c r="ET788" s="1472">
        <f t="shared" si="52"/>
        <v>0</v>
      </c>
      <c r="EU788" s="1473"/>
      <c r="EV788" s="1473"/>
      <c r="EW788" s="1473"/>
      <c r="EX788" s="1474"/>
    </row>
    <row r="789" spans="1:154" s="14" customFormat="1" ht="12.95" customHeight="1">
      <c r="A789"/>
      <c r="B789"/>
      <c r="C789"/>
      <c r="D789"/>
      <c r="E789"/>
      <c r="F789"/>
      <c r="G789"/>
      <c r="H789"/>
      <c r="I789"/>
      <c r="J789" s="1382"/>
      <c r="K789" s="1383"/>
      <c r="L789" s="1383"/>
      <c r="M789" s="1383"/>
      <c r="N789" s="1384"/>
      <c r="O789" s="1625"/>
      <c r="P789" s="1625"/>
      <c r="Q789" s="1625"/>
      <c r="R789" s="1625"/>
      <c r="S789" s="1625"/>
      <c r="T789" s="1347"/>
      <c r="U789" s="1348"/>
      <c r="V789" s="1348"/>
      <c r="W789" s="1349"/>
      <c r="X789" s="1344"/>
      <c r="Y789" s="1345"/>
      <c r="Z789" s="1345"/>
      <c r="AA789" s="1345"/>
      <c r="AB789" s="1346"/>
      <c r="AC789" s="1496">
        <f t="shared" si="40"/>
        <v>0</v>
      </c>
      <c r="AD789" s="1433"/>
      <c r="AE789" s="1433"/>
      <c r="AF789" s="1433"/>
      <c r="AG789" s="149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2">
        <f t="shared" si="41"/>
        <v>0</v>
      </c>
      <c r="CQ789" s="1473"/>
      <c r="CR789" s="1473"/>
      <c r="CS789" s="1473"/>
      <c r="CT789" s="1474"/>
      <c r="CU789" s="1472">
        <f t="shared" si="42"/>
        <v>0</v>
      </c>
      <c r="CV789" s="1473"/>
      <c r="CW789" s="1473"/>
      <c r="CX789" s="1473"/>
      <c r="CY789" s="1474"/>
      <c r="CZ789" s="1472">
        <f t="shared" si="43"/>
        <v>0</v>
      </c>
      <c r="DA789" s="1473"/>
      <c r="DB789" s="1473"/>
      <c r="DC789" s="1473"/>
      <c r="DD789" s="1474"/>
      <c r="DE789" s="1472">
        <f t="shared" si="44"/>
        <v>0</v>
      </c>
      <c r="DF789" s="1473"/>
      <c r="DG789" s="1473"/>
      <c r="DH789" s="1473"/>
      <c r="DI789" s="1474"/>
      <c r="DJ789" s="1472">
        <f t="shared" si="45"/>
        <v>0</v>
      </c>
      <c r="DK789" s="1473"/>
      <c r="DL789" s="1473"/>
      <c r="DM789" s="1473"/>
      <c r="DN789" s="1474"/>
      <c r="DO789" s="1472">
        <f t="shared" si="46"/>
        <v>0</v>
      </c>
      <c r="DP789" s="1473"/>
      <c r="DQ789" s="1473"/>
      <c r="DR789" s="1473"/>
      <c r="DS789" s="1474"/>
      <c r="DT789" s="6"/>
      <c r="DU789" s="1472">
        <f t="shared" si="47"/>
        <v>0</v>
      </c>
      <c r="DV789" s="1473"/>
      <c r="DW789" s="1473"/>
      <c r="DX789" s="1473"/>
      <c r="DY789" s="1474"/>
      <c r="DZ789" s="1472">
        <f t="shared" si="48"/>
        <v>0</v>
      </c>
      <c r="EA789" s="1473"/>
      <c r="EB789" s="1473"/>
      <c r="EC789" s="1473"/>
      <c r="ED789" s="1474"/>
      <c r="EE789" s="1472">
        <f t="shared" si="49"/>
        <v>0</v>
      </c>
      <c r="EF789" s="1473"/>
      <c r="EG789" s="1473"/>
      <c r="EH789" s="1473"/>
      <c r="EI789" s="1474"/>
      <c r="EJ789" s="1472">
        <f t="shared" si="50"/>
        <v>0</v>
      </c>
      <c r="EK789" s="1473"/>
      <c r="EL789" s="1473"/>
      <c r="EM789" s="1473"/>
      <c r="EN789" s="1474"/>
      <c r="EO789" s="1472">
        <f t="shared" si="51"/>
        <v>0</v>
      </c>
      <c r="EP789" s="1473"/>
      <c r="EQ789" s="1473"/>
      <c r="ER789" s="1473"/>
      <c r="ES789" s="1474"/>
      <c r="ET789" s="1472">
        <f t="shared" si="52"/>
        <v>0</v>
      </c>
      <c r="EU789" s="1473"/>
      <c r="EV789" s="1473"/>
      <c r="EW789" s="1473"/>
      <c r="EX789" s="1474"/>
    </row>
    <row r="790" spans="1:154" s="14" customFormat="1" ht="12.95" customHeight="1">
      <c r="A790"/>
      <c r="B790"/>
      <c r="C790"/>
      <c r="D790"/>
      <c r="E790"/>
      <c r="F790"/>
      <c r="G790"/>
      <c r="H790"/>
      <c r="I790"/>
      <c r="J790" s="1382"/>
      <c r="K790" s="1383"/>
      <c r="L790" s="1383"/>
      <c r="M790" s="1383"/>
      <c r="N790" s="1384"/>
      <c r="O790" s="1625"/>
      <c r="P790" s="1625"/>
      <c r="Q790" s="1625"/>
      <c r="R790" s="1625"/>
      <c r="S790" s="1625"/>
      <c r="T790" s="1347"/>
      <c r="U790" s="1348"/>
      <c r="V790" s="1348"/>
      <c r="W790" s="1349"/>
      <c r="X790" s="1344"/>
      <c r="Y790" s="1345"/>
      <c r="Z790" s="1345"/>
      <c r="AA790" s="1345"/>
      <c r="AB790" s="1346"/>
      <c r="AC790" s="1496">
        <f t="shared" si="40"/>
        <v>0</v>
      </c>
      <c r="AD790" s="1433"/>
      <c r="AE790" s="1433"/>
      <c r="AF790" s="1433"/>
      <c r="AG790" s="149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2">
        <f t="shared" si="41"/>
        <v>0</v>
      </c>
      <c r="CQ790" s="1473"/>
      <c r="CR790" s="1473"/>
      <c r="CS790" s="1473"/>
      <c r="CT790" s="1474"/>
      <c r="CU790" s="1472">
        <f t="shared" si="42"/>
        <v>0</v>
      </c>
      <c r="CV790" s="1473"/>
      <c r="CW790" s="1473"/>
      <c r="CX790" s="1473"/>
      <c r="CY790" s="1474"/>
      <c r="CZ790" s="1472">
        <f t="shared" si="43"/>
        <v>0</v>
      </c>
      <c r="DA790" s="1473"/>
      <c r="DB790" s="1473"/>
      <c r="DC790" s="1473"/>
      <c r="DD790" s="1474"/>
      <c r="DE790" s="1472">
        <f t="shared" si="44"/>
        <v>0</v>
      </c>
      <c r="DF790" s="1473"/>
      <c r="DG790" s="1473"/>
      <c r="DH790" s="1473"/>
      <c r="DI790" s="1474"/>
      <c r="DJ790" s="1472">
        <f t="shared" si="45"/>
        <v>0</v>
      </c>
      <c r="DK790" s="1473"/>
      <c r="DL790" s="1473"/>
      <c r="DM790" s="1473"/>
      <c r="DN790" s="1474"/>
      <c r="DO790" s="1472">
        <f t="shared" si="46"/>
        <v>0</v>
      </c>
      <c r="DP790" s="1473"/>
      <c r="DQ790" s="1473"/>
      <c r="DR790" s="1473"/>
      <c r="DS790" s="1474"/>
      <c r="DT790" s="6"/>
      <c r="DU790" s="1472">
        <f t="shared" si="47"/>
        <v>0</v>
      </c>
      <c r="DV790" s="1473"/>
      <c r="DW790" s="1473"/>
      <c r="DX790" s="1473"/>
      <c r="DY790" s="1474"/>
      <c r="DZ790" s="1472">
        <f t="shared" si="48"/>
        <v>0</v>
      </c>
      <c r="EA790" s="1473"/>
      <c r="EB790" s="1473"/>
      <c r="EC790" s="1473"/>
      <c r="ED790" s="1474"/>
      <c r="EE790" s="1472">
        <f t="shared" si="49"/>
        <v>0</v>
      </c>
      <c r="EF790" s="1473"/>
      <c r="EG790" s="1473"/>
      <c r="EH790" s="1473"/>
      <c r="EI790" s="1474"/>
      <c r="EJ790" s="1472">
        <f t="shared" si="50"/>
        <v>0</v>
      </c>
      <c r="EK790" s="1473"/>
      <c r="EL790" s="1473"/>
      <c r="EM790" s="1473"/>
      <c r="EN790" s="1474"/>
      <c r="EO790" s="1472">
        <f t="shared" si="51"/>
        <v>0</v>
      </c>
      <c r="EP790" s="1473"/>
      <c r="EQ790" s="1473"/>
      <c r="ER790" s="1473"/>
      <c r="ES790" s="1474"/>
      <c r="ET790" s="1472">
        <f t="shared" si="52"/>
        <v>0</v>
      </c>
      <c r="EU790" s="1473"/>
      <c r="EV790" s="1473"/>
      <c r="EW790" s="1473"/>
      <c r="EX790" s="1474"/>
    </row>
    <row r="791" spans="1:154" s="14" customFormat="1" ht="12.95" customHeight="1">
      <c r="A791"/>
      <c r="B791"/>
      <c r="C791"/>
      <c r="D791"/>
      <c r="E791"/>
      <c r="F791"/>
      <c r="G791"/>
      <c r="H791"/>
      <c r="I791"/>
      <c r="J791" s="1382"/>
      <c r="K791" s="1383"/>
      <c r="L791" s="1383"/>
      <c r="M791" s="1383"/>
      <c r="N791" s="1384"/>
      <c r="O791" s="1625"/>
      <c r="P791" s="1625"/>
      <c r="Q791" s="1625"/>
      <c r="R791" s="1625"/>
      <c r="S791" s="1625"/>
      <c r="T791" s="1347"/>
      <c r="U791" s="1348"/>
      <c r="V791" s="1348"/>
      <c r="W791" s="1349"/>
      <c r="X791" s="1344"/>
      <c r="Y791" s="1345"/>
      <c r="Z791" s="1345"/>
      <c r="AA791" s="1345"/>
      <c r="AB791" s="1346"/>
      <c r="AC791" s="1496">
        <f t="shared" si="40"/>
        <v>0</v>
      </c>
      <c r="AD791" s="1433"/>
      <c r="AE791" s="1433"/>
      <c r="AF791" s="1433"/>
      <c r="AG791" s="149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2">
        <f t="shared" si="41"/>
        <v>0</v>
      </c>
      <c r="CQ791" s="1473"/>
      <c r="CR791" s="1473"/>
      <c r="CS791" s="1473"/>
      <c r="CT791" s="1474"/>
      <c r="CU791" s="1472">
        <f t="shared" si="42"/>
        <v>0</v>
      </c>
      <c r="CV791" s="1473"/>
      <c r="CW791" s="1473"/>
      <c r="CX791" s="1473"/>
      <c r="CY791" s="1474"/>
      <c r="CZ791" s="1472">
        <f t="shared" si="43"/>
        <v>0</v>
      </c>
      <c r="DA791" s="1473"/>
      <c r="DB791" s="1473"/>
      <c r="DC791" s="1473"/>
      <c r="DD791" s="1474"/>
      <c r="DE791" s="1472">
        <f t="shared" si="44"/>
        <v>0</v>
      </c>
      <c r="DF791" s="1473"/>
      <c r="DG791" s="1473"/>
      <c r="DH791" s="1473"/>
      <c r="DI791" s="1474"/>
      <c r="DJ791" s="1472">
        <f t="shared" si="45"/>
        <v>0</v>
      </c>
      <c r="DK791" s="1473"/>
      <c r="DL791" s="1473"/>
      <c r="DM791" s="1473"/>
      <c r="DN791" s="1474"/>
      <c r="DO791" s="1472">
        <f t="shared" si="46"/>
        <v>0</v>
      </c>
      <c r="DP791" s="1473"/>
      <c r="DQ791" s="1473"/>
      <c r="DR791" s="1473"/>
      <c r="DS791" s="1474"/>
      <c r="DT791" s="6"/>
      <c r="DU791" s="1472">
        <f t="shared" si="47"/>
        <v>0</v>
      </c>
      <c r="DV791" s="1473"/>
      <c r="DW791" s="1473"/>
      <c r="DX791" s="1473"/>
      <c r="DY791" s="1474"/>
      <c r="DZ791" s="1472">
        <f t="shared" si="48"/>
        <v>0</v>
      </c>
      <c r="EA791" s="1473"/>
      <c r="EB791" s="1473"/>
      <c r="EC791" s="1473"/>
      <c r="ED791" s="1474"/>
      <c r="EE791" s="1472">
        <f t="shared" si="49"/>
        <v>0</v>
      </c>
      <c r="EF791" s="1473"/>
      <c r="EG791" s="1473"/>
      <c r="EH791" s="1473"/>
      <c r="EI791" s="1474"/>
      <c r="EJ791" s="1472">
        <f t="shared" si="50"/>
        <v>0</v>
      </c>
      <c r="EK791" s="1473"/>
      <c r="EL791" s="1473"/>
      <c r="EM791" s="1473"/>
      <c r="EN791" s="1474"/>
      <c r="EO791" s="1472">
        <f t="shared" si="51"/>
        <v>0</v>
      </c>
      <c r="EP791" s="1473"/>
      <c r="EQ791" s="1473"/>
      <c r="ER791" s="1473"/>
      <c r="ES791" s="1474"/>
      <c r="ET791" s="1472">
        <f t="shared" si="52"/>
        <v>0</v>
      </c>
      <c r="EU791" s="1473"/>
      <c r="EV791" s="1473"/>
      <c r="EW791" s="1473"/>
      <c r="EX791" s="1474"/>
    </row>
    <row r="792" spans="1:154" s="14" customFormat="1" ht="12.95" customHeight="1">
      <c r="A792"/>
      <c r="B792"/>
      <c r="C792"/>
      <c r="D792"/>
      <c r="E792"/>
      <c r="F792"/>
      <c r="G792"/>
      <c r="H792"/>
      <c r="I792"/>
      <c r="J792" s="1382"/>
      <c r="K792" s="1383"/>
      <c r="L792" s="1383"/>
      <c r="M792" s="1383"/>
      <c r="N792" s="1384"/>
      <c r="O792" s="1625"/>
      <c r="P792" s="1625"/>
      <c r="Q792" s="1625"/>
      <c r="R792" s="1625"/>
      <c r="S792" s="1625"/>
      <c r="T792" s="1347"/>
      <c r="U792" s="1348"/>
      <c r="V792" s="1348"/>
      <c r="W792" s="1349"/>
      <c r="X792" s="1344"/>
      <c r="Y792" s="1345"/>
      <c r="Z792" s="1345"/>
      <c r="AA792" s="1345"/>
      <c r="AB792" s="1346"/>
      <c r="AC792" s="1496">
        <f t="shared" si="40"/>
        <v>0</v>
      </c>
      <c r="AD792" s="1433"/>
      <c r="AE792" s="1433"/>
      <c r="AF792" s="1433"/>
      <c r="AG792" s="149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2">
        <f t="shared" si="41"/>
        <v>0</v>
      </c>
      <c r="CQ792" s="1473"/>
      <c r="CR792" s="1473"/>
      <c r="CS792" s="1473"/>
      <c r="CT792" s="1474"/>
      <c r="CU792" s="1472">
        <f t="shared" si="42"/>
        <v>0</v>
      </c>
      <c r="CV792" s="1473"/>
      <c r="CW792" s="1473"/>
      <c r="CX792" s="1473"/>
      <c r="CY792" s="1474"/>
      <c r="CZ792" s="1472">
        <f t="shared" si="43"/>
        <v>0</v>
      </c>
      <c r="DA792" s="1473"/>
      <c r="DB792" s="1473"/>
      <c r="DC792" s="1473"/>
      <c r="DD792" s="1474"/>
      <c r="DE792" s="1472">
        <f t="shared" si="44"/>
        <v>0</v>
      </c>
      <c r="DF792" s="1473"/>
      <c r="DG792" s="1473"/>
      <c r="DH792" s="1473"/>
      <c r="DI792" s="1474"/>
      <c r="DJ792" s="1472">
        <f t="shared" si="45"/>
        <v>0</v>
      </c>
      <c r="DK792" s="1473"/>
      <c r="DL792" s="1473"/>
      <c r="DM792" s="1473"/>
      <c r="DN792" s="1474"/>
      <c r="DO792" s="1472">
        <f t="shared" si="46"/>
        <v>0</v>
      </c>
      <c r="DP792" s="1473"/>
      <c r="DQ792" s="1473"/>
      <c r="DR792" s="1473"/>
      <c r="DS792" s="1474"/>
      <c r="DT792" s="6"/>
      <c r="DU792" s="1472">
        <f t="shared" si="47"/>
        <v>0</v>
      </c>
      <c r="DV792" s="1473"/>
      <c r="DW792" s="1473"/>
      <c r="DX792" s="1473"/>
      <c r="DY792" s="1474"/>
      <c r="DZ792" s="1472">
        <f t="shared" si="48"/>
        <v>0</v>
      </c>
      <c r="EA792" s="1473"/>
      <c r="EB792" s="1473"/>
      <c r="EC792" s="1473"/>
      <c r="ED792" s="1474"/>
      <c r="EE792" s="1472">
        <f t="shared" si="49"/>
        <v>0</v>
      </c>
      <c r="EF792" s="1473"/>
      <c r="EG792" s="1473"/>
      <c r="EH792" s="1473"/>
      <c r="EI792" s="1474"/>
      <c r="EJ792" s="1472">
        <f t="shared" si="50"/>
        <v>0</v>
      </c>
      <c r="EK792" s="1473"/>
      <c r="EL792" s="1473"/>
      <c r="EM792" s="1473"/>
      <c r="EN792" s="1474"/>
      <c r="EO792" s="1472">
        <f t="shared" si="51"/>
        <v>0</v>
      </c>
      <c r="EP792" s="1473"/>
      <c r="EQ792" s="1473"/>
      <c r="ER792" s="1473"/>
      <c r="ES792" s="1474"/>
      <c r="ET792" s="1472">
        <f t="shared" si="52"/>
        <v>0</v>
      </c>
      <c r="EU792" s="1473"/>
      <c r="EV792" s="1473"/>
      <c r="EW792" s="1473"/>
      <c r="EX792" s="1474"/>
    </row>
    <row r="793" spans="1:154" s="14" customFormat="1" ht="12.95" customHeight="1">
      <c r="A793"/>
      <c r="B793"/>
      <c r="C793"/>
      <c r="D793"/>
      <c r="E793"/>
      <c r="F793"/>
      <c r="G793"/>
      <c r="H793"/>
      <c r="I793"/>
      <c r="J793" s="1382"/>
      <c r="K793" s="1383"/>
      <c r="L793" s="1383"/>
      <c r="M793" s="1383"/>
      <c r="N793" s="1384"/>
      <c r="O793" s="1625"/>
      <c r="P793" s="1625"/>
      <c r="Q793" s="1625"/>
      <c r="R793" s="1625"/>
      <c r="S793" s="1625"/>
      <c r="T793" s="1347"/>
      <c r="U793" s="1348"/>
      <c r="V793" s="1348"/>
      <c r="W793" s="1349"/>
      <c r="X793" s="1344"/>
      <c r="Y793" s="1345"/>
      <c r="Z793" s="1345"/>
      <c r="AA793" s="1345"/>
      <c r="AB793" s="1346"/>
      <c r="AC793" s="1496">
        <f t="shared" si="40"/>
        <v>0</v>
      </c>
      <c r="AD793" s="1433"/>
      <c r="AE793" s="1433"/>
      <c r="AF793" s="1433"/>
      <c r="AG793" s="149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2">
        <f t="shared" si="41"/>
        <v>0</v>
      </c>
      <c r="CQ793" s="1473"/>
      <c r="CR793" s="1473"/>
      <c r="CS793" s="1473"/>
      <c r="CT793" s="1474"/>
      <c r="CU793" s="1472">
        <f t="shared" si="42"/>
        <v>0</v>
      </c>
      <c r="CV793" s="1473"/>
      <c r="CW793" s="1473"/>
      <c r="CX793" s="1473"/>
      <c r="CY793" s="1474"/>
      <c r="CZ793" s="1472">
        <f t="shared" si="43"/>
        <v>0</v>
      </c>
      <c r="DA793" s="1473"/>
      <c r="DB793" s="1473"/>
      <c r="DC793" s="1473"/>
      <c r="DD793" s="1474"/>
      <c r="DE793" s="1472">
        <f t="shared" si="44"/>
        <v>0</v>
      </c>
      <c r="DF793" s="1473"/>
      <c r="DG793" s="1473"/>
      <c r="DH793" s="1473"/>
      <c r="DI793" s="1474"/>
      <c r="DJ793" s="1472">
        <f t="shared" si="45"/>
        <v>0</v>
      </c>
      <c r="DK793" s="1473"/>
      <c r="DL793" s="1473"/>
      <c r="DM793" s="1473"/>
      <c r="DN793" s="1474"/>
      <c r="DO793" s="1472">
        <f t="shared" si="46"/>
        <v>0</v>
      </c>
      <c r="DP793" s="1473"/>
      <c r="DQ793" s="1473"/>
      <c r="DR793" s="1473"/>
      <c r="DS793" s="1474"/>
      <c r="DT793" s="6"/>
      <c r="DU793" s="1472">
        <f t="shared" si="47"/>
        <v>0</v>
      </c>
      <c r="DV793" s="1473"/>
      <c r="DW793" s="1473"/>
      <c r="DX793" s="1473"/>
      <c r="DY793" s="1474"/>
      <c r="DZ793" s="1472">
        <f t="shared" si="48"/>
        <v>0</v>
      </c>
      <c r="EA793" s="1473"/>
      <c r="EB793" s="1473"/>
      <c r="EC793" s="1473"/>
      <c r="ED793" s="1474"/>
      <c r="EE793" s="1472">
        <f t="shared" si="49"/>
        <v>0</v>
      </c>
      <c r="EF793" s="1473"/>
      <c r="EG793" s="1473"/>
      <c r="EH793" s="1473"/>
      <c r="EI793" s="1474"/>
      <c r="EJ793" s="1472">
        <f t="shared" si="50"/>
        <v>0</v>
      </c>
      <c r="EK793" s="1473"/>
      <c r="EL793" s="1473"/>
      <c r="EM793" s="1473"/>
      <c r="EN793" s="1474"/>
      <c r="EO793" s="1472">
        <f t="shared" si="51"/>
        <v>0</v>
      </c>
      <c r="EP793" s="1473"/>
      <c r="EQ793" s="1473"/>
      <c r="ER793" s="1473"/>
      <c r="ES793" s="1474"/>
      <c r="ET793" s="1472">
        <f t="shared" si="52"/>
        <v>0</v>
      </c>
      <c r="EU793" s="1473"/>
      <c r="EV793" s="1473"/>
      <c r="EW793" s="1473"/>
      <c r="EX793" s="1474"/>
    </row>
    <row r="794" spans="1:154" s="14" customFormat="1" ht="12.95" customHeight="1">
      <c r="A794"/>
      <c r="B794"/>
      <c r="C794"/>
      <c r="D794"/>
      <c r="E794"/>
      <c r="F794"/>
      <c r="G794"/>
      <c r="H794"/>
      <c r="I794"/>
      <c r="J794" s="1382"/>
      <c r="K794" s="1383"/>
      <c r="L794" s="1383"/>
      <c r="M794" s="1383"/>
      <c r="N794" s="1384"/>
      <c r="O794" s="1625"/>
      <c r="P794" s="1625"/>
      <c r="Q794" s="1625"/>
      <c r="R794" s="1625"/>
      <c r="S794" s="1625"/>
      <c r="T794" s="1347"/>
      <c r="U794" s="1348"/>
      <c r="V794" s="1348"/>
      <c r="W794" s="1349"/>
      <c r="X794" s="1344"/>
      <c r="Y794" s="1345"/>
      <c r="Z794" s="1345"/>
      <c r="AA794" s="1345"/>
      <c r="AB794" s="1346"/>
      <c r="AC794" s="1496">
        <f t="shared" si="40"/>
        <v>0</v>
      </c>
      <c r="AD794" s="1433"/>
      <c r="AE794" s="1433"/>
      <c r="AF794" s="1433"/>
      <c r="AG794" s="149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2">
        <f t="shared" si="41"/>
        <v>0</v>
      </c>
      <c r="CQ794" s="1473"/>
      <c r="CR794" s="1473"/>
      <c r="CS794" s="1473"/>
      <c r="CT794" s="1474"/>
      <c r="CU794" s="1472">
        <f t="shared" si="42"/>
        <v>0</v>
      </c>
      <c r="CV794" s="1473"/>
      <c r="CW794" s="1473"/>
      <c r="CX794" s="1473"/>
      <c r="CY794" s="1474"/>
      <c r="CZ794" s="1472">
        <f t="shared" si="43"/>
        <v>0</v>
      </c>
      <c r="DA794" s="1473"/>
      <c r="DB794" s="1473"/>
      <c r="DC794" s="1473"/>
      <c r="DD794" s="1474"/>
      <c r="DE794" s="1472">
        <f t="shared" si="44"/>
        <v>0</v>
      </c>
      <c r="DF794" s="1473"/>
      <c r="DG794" s="1473"/>
      <c r="DH794" s="1473"/>
      <c r="DI794" s="1474"/>
      <c r="DJ794" s="1472">
        <f t="shared" si="45"/>
        <v>0</v>
      </c>
      <c r="DK794" s="1473"/>
      <c r="DL794" s="1473"/>
      <c r="DM794" s="1473"/>
      <c r="DN794" s="1474"/>
      <c r="DO794" s="1472">
        <f t="shared" si="46"/>
        <v>0</v>
      </c>
      <c r="DP794" s="1473"/>
      <c r="DQ794" s="1473"/>
      <c r="DR794" s="1473"/>
      <c r="DS794" s="1474"/>
      <c r="DT794" s="6"/>
      <c r="DU794" s="1472">
        <f t="shared" si="47"/>
        <v>0</v>
      </c>
      <c r="DV794" s="1473"/>
      <c r="DW794" s="1473"/>
      <c r="DX794" s="1473"/>
      <c r="DY794" s="1474"/>
      <c r="DZ794" s="1472">
        <f t="shared" si="48"/>
        <v>0</v>
      </c>
      <c r="EA794" s="1473"/>
      <c r="EB794" s="1473"/>
      <c r="EC794" s="1473"/>
      <c r="ED794" s="1474"/>
      <c r="EE794" s="1472">
        <f t="shared" si="49"/>
        <v>0</v>
      </c>
      <c r="EF794" s="1473"/>
      <c r="EG794" s="1473"/>
      <c r="EH794" s="1473"/>
      <c r="EI794" s="1474"/>
      <c r="EJ794" s="1472">
        <f t="shared" si="50"/>
        <v>0</v>
      </c>
      <c r="EK794" s="1473"/>
      <c r="EL794" s="1473"/>
      <c r="EM794" s="1473"/>
      <c r="EN794" s="1474"/>
      <c r="EO794" s="1472">
        <f t="shared" si="51"/>
        <v>0</v>
      </c>
      <c r="EP794" s="1473"/>
      <c r="EQ794" s="1473"/>
      <c r="ER794" s="1473"/>
      <c r="ES794" s="1474"/>
      <c r="ET794" s="1472">
        <f t="shared" si="52"/>
        <v>0</v>
      </c>
      <c r="EU794" s="1473"/>
      <c r="EV794" s="1473"/>
      <c r="EW794" s="1473"/>
      <c r="EX794" s="1474"/>
    </row>
    <row r="795" spans="1:154" s="14" customFormat="1" ht="12.95" customHeight="1">
      <c r="A795"/>
      <c r="B795"/>
      <c r="C795"/>
      <c r="D795"/>
      <c r="E795"/>
      <c r="F795"/>
      <c r="G795"/>
      <c r="H795"/>
      <c r="I795"/>
      <c r="J795" s="1382"/>
      <c r="K795" s="1383"/>
      <c r="L795" s="1383"/>
      <c r="M795" s="1383"/>
      <c r="N795" s="1384"/>
      <c r="O795" s="1625"/>
      <c r="P795" s="1625"/>
      <c r="Q795" s="1625"/>
      <c r="R795" s="1625"/>
      <c r="S795" s="1625"/>
      <c r="T795" s="1347"/>
      <c r="U795" s="1348"/>
      <c r="V795" s="1348"/>
      <c r="W795" s="1349"/>
      <c r="X795" s="1344"/>
      <c r="Y795" s="1345"/>
      <c r="Z795" s="1345"/>
      <c r="AA795" s="1345"/>
      <c r="AB795" s="1346"/>
      <c r="AC795" s="1496">
        <f t="shared" si="40"/>
        <v>0</v>
      </c>
      <c r="AD795" s="1433"/>
      <c r="AE795" s="1433"/>
      <c r="AF795" s="1433"/>
      <c r="AG795" s="149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2">
        <f t="shared" si="41"/>
        <v>0</v>
      </c>
      <c r="CQ795" s="1473"/>
      <c r="CR795" s="1473"/>
      <c r="CS795" s="1473"/>
      <c r="CT795" s="1474"/>
      <c r="CU795" s="1472">
        <f t="shared" si="42"/>
        <v>0</v>
      </c>
      <c r="CV795" s="1473"/>
      <c r="CW795" s="1473"/>
      <c r="CX795" s="1473"/>
      <c r="CY795" s="1474"/>
      <c r="CZ795" s="1472">
        <f t="shared" si="43"/>
        <v>0</v>
      </c>
      <c r="DA795" s="1473"/>
      <c r="DB795" s="1473"/>
      <c r="DC795" s="1473"/>
      <c r="DD795" s="1474"/>
      <c r="DE795" s="1472">
        <f t="shared" si="44"/>
        <v>0</v>
      </c>
      <c r="DF795" s="1473"/>
      <c r="DG795" s="1473"/>
      <c r="DH795" s="1473"/>
      <c r="DI795" s="1474"/>
      <c r="DJ795" s="1472">
        <f t="shared" si="45"/>
        <v>0</v>
      </c>
      <c r="DK795" s="1473"/>
      <c r="DL795" s="1473"/>
      <c r="DM795" s="1473"/>
      <c r="DN795" s="1474"/>
      <c r="DO795" s="1472">
        <f t="shared" si="46"/>
        <v>0</v>
      </c>
      <c r="DP795" s="1473"/>
      <c r="DQ795" s="1473"/>
      <c r="DR795" s="1473"/>
      <c r="DS795" s="1474"/>
      <c r="DT795" s="6"/>
      <c r="DU795" s="1472">
        <f t="shared" si="47"/>
        <v>0</v>
      </c>
      <c r="DV795" s="1473"/>
      <c r="DW795" s="1473"/>
      <c r="DX795" s="1473"/>
      <c r="DY795" s="1474"/>
      <c r="DZ795" s="1472">
        <f t="shared" si="48"/>
        <v>0</v>
      </c>
      <c r="EA795" s="1473"/>
      <c r="EB795" s="1473"/>
      <c r="EC795" s="1473"/>
      <c r="ED795" s="1474"/>
      <c r="EE795" s="1472">
        <f t="shared" si="49"/>
        <v>0</v>
      </c>
      <c r="EF795" s="1473"/>
      <c r="EG795" s="1473"/>
      <c r="EH795" s="1473"/>
      <c r="EI795" s="1474"/>
      <c r="EJ795" s="1472">
        <f t="shared" si="50"/>
        <v>0</v>
      </c>
      <c r="EK795" s="1473"/>
      <c r="EL795" s="1473"/>
      <c r="EM795" s="1473"/>
      <c r="EN795" s="1474"/>
      <c r="EO795" s="1472">
        <f t="shared" si="51"/>
        <v>0</v>
      </c>
      <c r="EP795" s="1473"/>
      <c r="EQ795" s="1473"/>
      <c r="ER795" s="1473"/>
      <c r="ES795" s="1474"/>
      <c r="ET795" s="1472">
        <f t="shared" si="52"/>
        <v>0</v>
      </c>
      <c r="EU795" s="1473"/>
      <c r="EV795" s="1473"/>
      <c r="EW795" s="1473"/>
      <c r="EX795" s="1474"/>
    </row>
    <row r="796" spans="1:154" s="4" customFormat="1" ht="12.95" customHeight="1">
      <c r="A796"/>
      <c r="B796"/>
      <c r="C796"/>
      <c r="D796"/>
      <c r="E796"/>
      <c r="F796"/>
      <c r="G796"/>
      <c r="H796"/>
      <c r="I796"/>
      <c r="J796" s="1382"/>
      <c r="K796" s="1383"/>
      <c r="L796" s="1383"/>
      <c r="M796" s="1383"/>
      <c r="N796" s="1384"/>
      <c r="O796" s="1625"/>
      <c r="P796" s="1625"/>
      <c r="Q796" s="1625"/>
      <c r="R796" s="1625"/>
      <c r="S796" s="1625"/>
      <c r="T796" s="1347"/>
      <c r="U796" s="1348"/>
      <c r="V796" s="1348"/>
      <c r="W796" s="1349"/>
      <c r="X796" s="1344"/>
      <c r="Y796" s="1345"/>
      <c r="Z796" s="1345"/>
      <c r="AA796" s="1345"/>
      <c r="AB796" s="1346"/>
      <c r="AC796" s="1496">
        <f t="shared" si="40"/>
        <v>0</v>
      </c>
      <c r="AD796" s="1433"/>
      <c r="AE796" s="1433"/>
      <c r="AF796" s="1433"/>
      <c r="AG796" s="1497"/>
      <c r="AH796"/>
      <c r="AI796"/>
      <c r="AJ796"/>
      <c r="AK796"/>
      <c r="AL796"/>
      <c r="AM796"/>
      <c r="AN796"/>
      <c r="AO796"/>
      <c r="AP796"/>
      <c r="AQ796"/>
      <c r="AR796"/>
      <c r="AS796"/>
      <c r="AT796"/>
      <c r="AU796"/>
      <c r="AV796"/>
      <c r="AW796"/>
      <c r="AX796"/>
      <c r="AY796"/>
      <c r="AZ796" s="3"/>
      <c r="CP796" s="1472">
        <f t="shared" si="41"/>
        <v>0</v>
      </c>
      <c r="CQ796" s="1473"/>
      <c r="CR796" s="1473"/>
      <c r="CS796" s="1473"/>
      <c r="CT796" s="1474"/>
      <c r="CU796" s="1472">
        <f t="shared" si="42"/>
        <v>0</v>
      </c>
      <c r="CV796" s="1473"/>
      <c r="CW796" s="1473"/>
      <c r="CX796" s="1473"/>
      <c r="CY796" s="1474"/>
      <c r="CZ796" s="1472">
        <f t="shared" si="43"/>
        <v>0</v>
      </c>
      <c r="DA796" s="1473"/>
      <c r="DB796" s="1473"/>
      <c r="DC796" s="1473"/>
      <c r="DD796" s="1474"/>
      <c r="DE796" s="1472">
        <f t="shared" si="44"/>
        <v>0</v>
      </c>
      <c r="DF796" s="1473"/>
      <c r="DG796" s="1473"/>
      <c r="DH796" s="1473"/>
      <c r="DI796" s="1474"/>
      <c r="DJ796" s="1472">
        <f t="shared" si="45"/>
        <v>0</v>
      </c>
      <c r="DK796" s="1473"/>
      <c r="DL796" s="1473"/>
      <c r="DM796" s="1473"/>
      <c r="DN796" s="1474"/>
      <c r="DO796" s="1472">
        <f t="shared" si="46"/>
        <v>0</v>
      </c>
      <c r="DP796" s="1473"/>
      <c r="DQ796" s="1473"/>
      <c r="DR796" s="1473"/>
      <c r="DS796" s="1474"/>
      <c r="DT796" s="6"/>
      <c r="DU796" s="1472">
        <f t="shared" si="47"/>
        <v>0</v>
      </c>
      <c r="DV796" s="1473"/>
      <c r="DW796" s="1473"/>
      <c r="DX796" s="1473"/>
      <c r="DY796" s="1474"/>
      <c r="DZ796" s="1472">
        <f t="shared" si="48"/>
        <v>0</v>
      </c>
      <c r="EA796" s="1473"/>
      <c r="EB796" s="1473"/>
      <c r="EC796" s="1473"/>
      <c r="ED796" s="1474"/>
      <c r="EE796" s="1472">
        <f t="shared" si="49"/>
        <v>0</v>
      </c>
      <c r="EF796" s="1473"/>
      <c r="EG796" s="1473"/>
      <c r="EH796" s="1473"/>
      <c r="EI796" s="1474"/>
      <c r="EJ796" s="1472">
        <f t="shared" si="50"/>
        <v>0</v>
      </c>
      <c r="EK796" s="1473"/>
      <c r="EL796" s="1473"/>
      <c r="EM796" s="1473"/>
      <c r="EN796" s="1474"/>
      <c r="EO796" s="1472">
        <f t="shared" si="51"/>
        <v>0</v>
      </c>
      <c r="EP796" s="1473"/>
      <c r="EQ796" s="1473"/>
      <c r="ER796" s="1473"/>
      <c r="ES796" s="1474"/>
      <c r="ET796" s="1472">
        <f t="shared" si="52"/>
        <v>0</v>
      </c>
      <c r="EU796" s="1473"/>
      <c r="EV796" s="1473"/>
      <c r="EW796" s="1473"/>
      <c r="EX796" s="1474"/>
    </row>
    <row r="797" spans="1:154" s="4" customFormat="1" ht="12.95" customHeight="1">
      <c r="A797"/>
      <c r="B797"/>
      <c r="C797"/>
      <c r="D797"/>
      <c r="E797"/>
      <c r="F797"/>
      <c r="G797"/>
      <c r="H797"/>
      <c r="I797"/>
      <c r="J797" s="1608" t="s">
        <v>125</v>
      </c>
      <c r="K797" s="1609"/>
      <c r="L797" s="1609"/>
      <c r="M797" s="1609"/>
      <c r="N797" s="1610"/>
      <c r="O797" s="1735">
        <f>SUM(O787:S796)</f>
        <v>0</v>
      </c>
      <c r="P797" s="1735"/>
      <c r="Q797" s="1735"/>
      <c r="R797" s="1735"/>
      <c r="S797" s="1735"/>
      <c r="T797"/>
      <c r="U797"/>
      <c r="V797"/>
      <c r="W797"/>
      <c r="X797" s="902" t="s">
        <v>124</v>
      </c>
      <c r="Y797" s="11"/>
      <c r="Z797" s="11"/>
      <c r="AA797" s="11"/>
      <c r="AB797" s="909"/>
      <c r="AC797" s="1496">
        <f>SUM(AC787:AG796)</f>
        <v>0</v>
      </c>
      <c r="AD797" s="1433"/>
      <c r="AE797" s="1433"/>
      <c r="AF797" s="1433"/>
      <c r="AG797" s="1497"/>
      <c r="AH797"/>
      <c r="AI797"/>
      <c r="AJ797"/>
      <c r="AK797"/>
      <c r="AL797"/>
      <c r="AM797"/>
      <c r="AN797"/>
      <c r="AO797"/>
      <c r="AP797"/>
      <c r="AQ797"/>
      <c r="AR797"/>
      <c r="AS797"/>
      <c r="AT797"/>
      <c r="AU797"/>
      <c r="AV797"/>
      <c r="AW797"/>
      <c r="AX797"/>
      <c r="AY797"/>
      <c r="AZ797" s="3"/>
      <c r="BA797"/>
      <c r="CP797" s="1480">
        <f>SUM(CP787:CT796)</f>
        <v>0</v>
      </c>
      <c r="CQ797" s="1482"/>
      <c r="CR797" s="1482"/>
      <c r="CS797" s="1482"/>
      <c r="CT797" s="1481"/>
      <c r="CU797" s="1483">
        <f>SUM(CU787:CY796)</f>
        <v>0</v>
      </c>
      <c r="CV797" s="1484"/>
      <c r="CW797" s="1484"/>
      <c r="CX797" s="1484"/>
      <c r="CY797" s="1485"/>
      <c r="CZ797" s="1483">
        <f>SUM(CZ787:DD796)</f>
        <v>0</v>
      </c>
      <c r="DA797" s="1484"/>
      <c r="DB797" s="1484"/>
      <c r="DC797" s="1484"/>
      <c r="DD797" s="1485"/>
      <c r="DE797" s="1483">
        <f>SUM(DE787:DI796)</f>
        <v>0</v>
      </c>
      <c r="DF797" s="1484"/>
      <c r="DG797" s="1484"/>
      <c r="DH797" s="1484"/>
      <c r="DI797" s="1485"/>
      <c r="DJ797" s="1483">
        <f>SUM(DJ787:DN796)</f>
        <v>0</v>
      </c>
      <c r="DK797" s="1484"/>
      <c r="DL797" s="1484"/>
      <c r="DM797" s="1484"/>
      <c r="DN797" s="1485"/>
      <c r="DO797" s="1483">
        <f>SUM(DO787:DS796)</f>
        <v>0</v>
      </c>
      <c r="DP797" s="1484"/>
      <c r="DQ797" s="1484"/>
      <c r="DR797" s="1484"/>
      <c r="DS797" s="1485"/>
      <c r="DT797" s="1012"/>
      <c r="DU797" s="1480">
        <f>SUM(DU787:DY796)</f>
        <v>0</v>
      </c>
      <c r="DV797" s="1482"/>
      <c r="DW797" s="1482"/>
      <c r="DX797" s="1482"/>
      <c r="DY797" s="1481"/>
      <c r="DZ797" s="1480">
        <f>SUM(DZ787:ED796)</f>
        <v>0</v>
      </c>
      <c r="EA797" s="1482"/>
      <c r="EB797" s="1482"/>
      <c r="EC797" s="1482"/>
      <c r="ED797" s="1481"/>
      <c r="EE797" s="1480">
        <f>SUM(EE787:EI796)</f>
        <v>0</v>
      </c>
      <c r="EF797" s="1482"/>
      <c r="EG797" s="1482"/>
      <c r="EH797" s="1482"/>
      <c r="EI797" s="1481"/>
      <c r="EJ797" s="1480">
        <f>SUM(EJ787:EN796)</f>
        <v>0</v>
      </c>
      <c r="EK797" s="1482"/>
      <c r="EL797" s="1482"/>
      <c r="EM797" s="1482"/>
      <c r="EN797" s="1481"/>
      <c r="EO797" s="1480">
        <f>SUM(EO787:ES796)</f>
        <v>0</v>
      </c>
      <c r="EP797" s="1482"/>
      <c r="EQ797" s="1482"/>
      <c r="ER797" s="1482"/>
      <c r="ES797" s="1481"/>
      <c r="ET797" s="1480">
        <f>SUM(ET787:EX796)</f>
        <v>0</v>
      </c>
      <c r="EU797" s="1482"/>
      <c r="EV797" s="1482"/>
      <c r="EW797" s="1482"/>
      <c r="EX797" s="1481"/>
    </row>
    <row r="798" spans="1:154" s="4" customFormat="1" ht="12.95"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64">
        <f>O753+AC777+AC797</f>
        <v>262911.8</v>
      </c>
      <c r="Z800" s="1664"/>
      <c r="AA800" s="1664"/>
      <c r="AB800" s="1664"/>
      <c r="AC800" s="166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64">
        <f>(O753+AC777+AC797)*12</f>
        <v>3154941.5999999996</v>
      </c>
      <c r="Z801" s="1664"/>
      <c r="AA801" s="1664"/>
      <c r="AB801" s="1664"/>
      <c r="AC801" s="166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3">
        <f>CP753+CP777+CP797</f>
        <v>6</v>
      </c>
      <c r="CQ802" s="1484"/>
      <c r="CR802" s="1484"/>
      <c r="CS802" s="1484"/>
      <c r="CT802" s="1485"/>
      <c r="CU802" s="1483">
        <f>CU753+CU777+CU797</f>
        <v>18</v>
      </c>
      <c r="CV802" s="1484"/>
      <c r="CW802" s="1484"/>
      <c r="CX802" s="1484"/>
      <c r="CY802" s="1485"/>
      <c r="CZ802" s="1483">
        <f>CZ753+CZ777+CZ797</f>
        <v>67</v>
      </c>
      <c r="DA802" s="1484"/>
      <c r="DB802" s="1484"/>
      <c r="DC802" s="1484"/>
      <c r="DD802" s="1485"/>
      <c r="DE802" s="1483">
        <f>DE753+DE777+DE797</f>
        <v>37</v>
      </c>
      <c r="DF802" s="1484"/>
      <c r="DG802" s="1484"/>
      <c r="DH802" s="1484"/>
      <c r="DI802" s="1485"/>
      <c r="DJ802" s="1483">
        <f>DJ753+DJ777+DJ797</f>
        <v>0</v>
      </c>
      <c r="DK802" s="1484"/>
      <c r="DL802" s="1484"/>
      <c r="DM802" s="1484"/>
      <c r="DN802" s="1485"/>
      <c r="DO802" s="1468">
        <f>DO797+DO777+DO753</f>
        <v>0</v>
      </c>
      <c r="DP802" s="1469"/>
      <c r="DQ802" s="1469"/>
      <c r="DR802" s="1469"/>
      <c r="DS802" s="1470"/>
      <c r="DT802" s="3"/>
      <c r="DU802" s="861">
        <f>DU755+DU800</f>
        <v>267</v>
      </c>
      <c r="DV802" s="57" t="s">
        <v>1862</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47"/>
      <c r="AA806" s="1548"/>
      <c r="AB806" s="1548"/>
      <c r="AC806" s="1548"/>
      <c r="AD806" s="1548"/>
      <c r="AE806" s="154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0"/>
      <c r="AA807" s="1548"/>
      <c r="AB807" s="1548"/>
      <c r="AC807" s="1548"/>
      <c r="AD807" s="1548"/>
      <c r="AE807" s="154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4"/>
      <c r="AA808" s="1516"/>
      <c r="AB808" s="1516"/>
      <c r="AC808" s="1516"/>
      <c r="AD808" s="1516"/>
      <c r="AE808" s="15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2">
        <f>'Subsidy Contract Calculation'!J40</f>
        <v>0</v>
      </c>
      <c r="AA809" s="1643"/>
      <c r="AB809" s="1643"/>
      <c r="AC809" s="1643"/>
      <c r="AD809" s="1643"/>
      <c r="AE809" s="164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72446.126842105412</v>
      </c>
      <c r="AA813" s="1478"/>
      <c r="AB813" s="1478"/>
      <c r="AC813" s="1478"/>
      <c r="AD813" s="1478"/>
      <c r="AE813" s="147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478"/>
      <c r="AB814" s="1478"/>
      <c r="AC814" s="1478"/>
      <c r="AD814" s="1478"/>
      <c r="AE814" s="147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478"/>
      <c r="AB815" s="1478"/>
      <c r="AC815" s="1478"/>
      <c r="AD815" s="1478"/>
      <c r="AE815" s="147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2750</v>
      </c>
      <c r="Q816" s="1594"/>
      <c r="R816" s="1594"/>
      <c r="S816" s="1594"/>
      <c r="T816" s="1594"/>
      <c r="U816" s="1594"/>
      <c r="V816" s="1594"/>
      <c r="W816" s="1594"/>
      <c r="X816" s="1594"/>
      <c r="Y816" s="1595"/>
      <c r="Z816" s="1477">
        <v>97344</v>
      </c>
      <c r="AA816" s="1478"/>
      <c r="AB816" s="1478"/>
      <c r="AC816" s="1478"/>
      <c r="AD816" s="1478"/>
      <c r="AE816" s="147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2">
        <f>SUM(Z813:AE816)</f>
        <v>169790.12684210541</v>
      </c>
      <c r="AA817" s="1643"/>
      <c r="AB817" s="1643"/>
      <c r="AC817" s="1643"/>
      <c r="AD817" s="1643"/>
      <c r="AE817" s="164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42">
        <f>Z817+Y801+Z809</f>
        <v>3324731.7268421049</v>
      </c>
      <c r="AA818" s="1643"/>
      <c r="AB818" s="1643"/>
      <c r="AC818" s="1643"/>
      <c r="AD818" s="1643"/>
      <c r="AE818" s="164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82"/>
      <c r="Q823" s="1647" t="s">
        <v>289</v>
      </c>
      <c r="R823" s="1647"/>
      <c r="S823" s="1647"/>
      <c r="T823" s="1647"/>
      <c r="U823" s="1647" t="s">
        <v>290</v>
      </c>
      <c r="V823" s="1647"/>
      <c r="W823" s="1647"/>
      <c r="X823" s="1647"/>
      <c r="Y823" s="1647" t="s">
        <v>291</v>
      </c>
      <c r="Z823" s="1647"/>
      <c r="AA823" s="1647"/>
      <c r="AB823" s="1647"/>
      <c r="AC823" s="1647" t="s">
        <v>360</v>
      </c>
      <c r="AD823" s="1647"/>
      <c r="AE823" s="1647"/>
      <c r="AF823" s="1647"/>
      <c r="AG823" s="1684" t="s">
        <v>334</v>
      </c>
      <c r="AH823" s="1684"/>
      <c r="AI823" s="1684"/>
      <c r="AJ823" s="168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598"/>
      <c r="Q824" s="1647"/>
      <c r="R824" s="1647"/>
      <c r="S824" s="1647"/>
      <c r="T824" s="1647"/>
      <c r="U824" s="1647"/>
      <c r="V824" s="1647"/>
      <c r="W824" s="1647"/>
      <c r="X824" s="1647"/>
      <c r="Y824" s="1647"/>
      <c r="Z824" s="1647"/>
      <c r="AA824" s="1647"/>
      <c r="AB824" s="1647"/>
      <c r="AC824" s="1647"/>
      <c r="AD824" s="1647"/>
      <c r="AE824" s="1647"/>
      <c r="AF824" s="1647"/>
      <c r="AG824" s="1684"/>
      <c r="AH824" s="1684"/>
      <c r="AI824" s="1684"/>
      <c r="AJ824" s="168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81" t="s">
        <v>40</v>
      </c>
      <c r="D825" s="1350"/>
      <c r="E825" s="1350"/>
      <c r="F825" s="1350"/>
      <c r="G825" s="1350"/>
      <c r="H825" s="1350"/>
      <c r="I825" s="48"/>
      <c r="J825" s="48"/>
      <c r="K825" s="48"/>
      <c r="L825" s="49"/>
      <c r="M825" s="1629">
        <v>6</v>
      </c>
      <c r="N825" s="1629"/>
      <c r="O825" s="1629"/>
      <c r="P825" s="1629"/>
      <c r="Q825" s="1629">
        <v>8</v>
      </c>
      <c r="R825" s="1629"/>
      <c r="S825" s="1629"/>
      <c r="T825" s="1629"/>
      <c r="U825" s="1629">
        <v>11</v>
      </c>
      <c r="V825" s="1629"/>
      <c r="W825" s="1629"/>
      <c r="X825" s="1629"/>
      <c r="Y825" s="1629">
        <v>13</v>
      </c>
      <c r="Z825" s="1629"/>
      <c r="AA825" s="1629"/>
      <c r="AB825" s="1629"/>
      <c r="AC825" s="1486"/>
      <c r="AD825" s="1487"/>
      <c r="AE825" s="1487"/>
      <c r="AF825" s="1488"/>
      <c r="AG825" s="1486"/>
      <c r="AH825" s="1487"/>
      <c r="AI825" s="1487"/>
      <c r="AJ825" s="148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45" t="s">
        <v>41</v>
      </c>
      <c r="D826" s="1646"/>
      <c r="E826" s="1646"/>
      <c r="F826" s="1646"/>
      <c r="G826" s="1646"/>
      <c r="H826" s="1646"/>
      <c r="I826" s="5"/>
      <c r="J826" s="5"/>
      <c r="K826" s="5"/>
      <c r="L826" s="46"/>
      <c r="M826" s="1629"/>
      <c r="N826" s="1629"/>
      <c r="O826" s="1629"/>
      <c r="P826" s="1629"/>
      <c r="Q826" s="1629"/>
      <c r="R826" s="1629"/>
      <c r="S826" s="1629"/>
      <c r="T826" s="1629"/>
      <c r="U826" s="1629"/>
      <c r="V826" s="1629"/>
      <c r="W826" s="1629"/>
      <c r="X826" s="1629"/>
      <c r="Y826" s="1629"/>
      <c r="Z826" s="1629"/>
      <c r="AA826" s="1629"/>
      <c r="AB826" s="1629"/>
      <c r="AC826" s="1486"/>
      <c r="AD826" s="1487"/>
      <c r="AE826" s="1487"/>
      <c r="AF826" s="1488"/>
      <c r="AG826" s="1486"/>
      <c r="AH826" s="1487"/>
      <c r="AI826" s="1487"/>
      <c r="AJ826" s="148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45" t="s">
        <v>42</v>
      </c>
      <c r="D827" s="1646"/>
      <c r="E827" s="1646"/>
      <c r="F827" s="1646"/>
      <c r="G827" s="1646"/>
      <c r="H827" s="1646"/>
      <c r="I827" s="60"/>
      <c r="J827" s="60"/>
      <c r="K827" s="60"/>
      <c r="L827" s="61"/>
      <c r="M827" s="1629">
        <v>2</v>
      </c>
      <c r="N827" s="1629"/>
      <c r="O827" s="1629"/>
      <c r="P827" s="1629"/>
      <c r="Q827" s="1629">
        <v>3</v>
      </c>
      <c r="R827" s="1629"/>
      <c r="S827" s="1629"/>
      <c r="T827" s="1629"/>
      <c r="U827" s="1629">
        <v>4</v>
      </c>
      <c r="V827" s="1629"/>
      <c r="W827" s="1629"/>
      <c r="X827" s="1629"/>
      <c r="Y827" s="1629">
        <v>5</v>
      </c>
      <c r="Z827" s="1629"/>
      <c r="AA827" s="1629"/>
      <c r="AB827" s="1629"/>
      <c r="AC827" s="1486"/>
      <c r="AD827" s="1487"/>
      <c r="AE827" s="1487"/>
      <c r="AF827" s="1488"/>
      <c r="AG827" s="1486"/>
      <c r="AH827" s="1487"/>
      <c r="AI827" s="1487"/>
      <c r="AJ827" s="148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45" t="s">
        <v>761</v>
      </c>
      <c r="D828" s="1646"/>
      <c r="E828" s="1646"/>
      <c r="F828" s="1646"/>
      <c r="G828" s="1646"/>
      <c r="H828" s="1646"/>
      <c r="I828" s="60"/>
      <c r="J828" s="60"/>
      <c r="K828" s="60"/>
      <c r="L828" s="61"/>
      <c r="M828" s="1629"/>
      <c r="N828" s="1629"/>
      <c r="O828" s="1629"/>
      <c r="P828" s="1629"/>
      <c r="Q828" s="1629"/>
      <c r="R828" s="1629"/>
      <c r="S828" s="1629"/>
      <c r="T828" s="1629"/>
      <c r="U828" s="1629"/>
      <c r="V828" s="1629"/>
      <c r="W828" s="1629"/>
      <c r="X828" s="1629"/>
      <c r="Y828" s="1629"/>
      <c r="Z828" s="1629"/>
      <c r="AA828" s="1629"/>
      <c r="AB828" s="1629"/>
      <c r="AC828" s="1486"/>
      <c r="AD828" s="1487"/>
      <c r="AE828" s="1487"/>
      <c r="AF828" s="1488"/>
      <c r="AG828" s="1486"/>
      <c r="AH828" s="1487"/>
      <c r="AI828" s="1487"/>
      <c r="AJ828" s="148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45" t="s">
        <v>458</v>
      </c>
      <c r="D829" s="1646"/>
      <c r="E829" s="1646"/>
      <c r="F829" s="1646"/>
      <c r="G829" s="1646"/>
      <c r="H829" s="1646"/>
      <c r="I829" s="60"/>
      <c r="J829" s="60"/>
      <c r="K829" s="60"/>
      <c r="L829" s="61"/>
      <c r="M829" s="1629">
        <v>16</v>
      </c>
      <c r="N829" s="1629"/>
      <c r="O829" s="1629"/>
      <c r="P829" s="1629"/>
      <c r="Q829" s="1629">
        <v>22</v>
      </c>
      <c r="R829" s="1629"/>
      <c r="S829" s="1629"/>
      <c r="T829" s="1629"/>
      <c r="U829" s="1629">
        <v>28</v>
      </c>
      <c r="V829" s="1629"/>
      <c r="W829" s="1629"/>
      <c r="X829" s="1629"/>
      <c r="Y829" s="1629">
        <v>35</v>
      </c>
      <c r="Z829" s="1629"/>
      <c r="AA829" s="1629"/>
      <c r="AB829" s="1629"/>
      <c r="AC829" s="1486"/>
      <c r="AD829" s="1487"/>
      <c r="AE829" s="1487"/>
      <c r="AF829" s="1488"/>
      <c r="AG829" s="1486"/>
      <c r="AH829" s="1487"/>
      <c r="AI829" s="1487"/>
      <c r="AJ829" s="148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3" t="s">
        <v>782</v>
      </c>
      <c r="D830" s="1646"/>
      <c r="E830" s="1646"/>
      <c r="F830" s="1646"/>
      <c r="G830" s="1646"/>
      <c r="H830" s="1646"/>
      <c r="I830" s="60"/>
      <c r="J830" s="60"/>
      <c r="K830" s="60"/>
      <c r="L830" s="61"/>
      <c r="M830" s="1629"/>
      <c r="N830" s="1629"/>
      <c r="O830" s="1629"/>
      <c r="P830" s="1629"/>
      <c r="Q830" s="1629"/>
      <c r="R830" s="1629"/>
      <c r="S830" s="1629"/>
      <c r="T830" s="1629"/>
      <c r="U830" s="1629"/>
      <c r="V830" s="1629"/>
      <c r="W830" s="1629"/>
      <c r="X830" s="1629"/>
      <c r="Y830" s="1629"/>
      <c r="Z830" s="1629"/>
      <c r="AA830" s="1629"/>
      <c r="AB830" s="1629"/>
      <c r="AC830" s="1486"/>
      <c r="AD830" s="1487"/>
      <c r="AE830" s="1487"/>
      <c r="AF830" s="1488"/>
      <c r="AG830" s="1486"/>
      <c r="AH830" s="1487"/>
      <c r="AI830" s="1487"/>
      <c r="AJ830" s="148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3" t="s">
        <v>2708</v>
      </c>
      <c r="G831" s="1594"/>
      <c r="H831" s="1594"/>
      <c r="I831" s="1594"/>
      <c r="J831" s="1594"/>
      <c r="K831" s="1594"/>
      <c r="L831" s="1594"/>
      <c r="M831" s="1629">
        <v>7</v>
      </c>
      <c r="N831" s="1629"/>
      <c r="O831" s="1629"/>
      <c r="P831" s="1629"/>
      <c r="Q831" s="1629">
        <v>10</v>
      </c>
      <c r="R831" s="1629"/>
      <c r="S831" s="1629"/>
      <c r="T831" s="1629"/>
      <c r="U831" s="1629">
        <v>13</v>
      </c>
      <c r="V831" s="1629"/>
      <c r="W831" s="1629"/>
      <c r="X831" s="1629"/>
      <c r="Y831" s="1629">
        <v>15</v>
      </c>
      <c r="Z831" s="1629"/>
      <c r="AA831" s="1629"/>
      <c r="AB831" s="1629"/>
      <c r="AC831" s="1486"/>
      <c r="AD831" s="1487"/>
      <c r="AE831" s="1487"/>
      <c r="AF831" s="1488"/>
      <c r="AG831" s="1486"/>
      <c r="AH831" s="1487"/>
      <c r="AI831" s="1487"/>
      <c r="AJ831" s="148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08" t="s">
        <v>124</v>
      </c>
      <c r="D832" s="1609"/>
      <c r="E832" s="1609"/>
      <c r="F832" s="1609"/>
      <c r="G832" s="1609"/>
      <c r="H832" s="1609"/>
      <c r="I832" s="1609"/>
      <c r="J832" s="1609"/>
      <c r="K832" s="1609"/>
      <c r="L832" s="1610"/>
      <c r="M832" s="1649">
        <f>SUM(M825:P831)</f>
        <v>31</v>
      </c>
      <c r="N832" s="1649"/>
      <c r="O832" s="1649"/>
      <c r="P832" s="1649"/>
      <c r="Q832" s="1649">
        <f>SUM(Q825:T831)</f>
        <v>43</v>
      </c>
      <c r="R832" s="1649"/>
      <c r="S832" s="1649"/>
      <c r="T832" s="1649"/>
      <c r="U832" s="1649">
        <f>SUM(U825:X831)</f>
        <v>56</v>
      </c>
      <c r="V832" s="1649"/>
      <c r="W832" s="1649"/>
      <c r="X832" s="1649"/>
      <c r="Y832" s="1649">
        <f>SUM(Y825:AB831)</f>
        <v>68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79" t="s">
        <v>2707</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c r="BJ841" s="1677"/>
      <c r="BK841" s="1677"/>
      <c r="BL841" s="1677"/>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92">
        <v>5000</v>
      </c>
      <c r="X842" s="1492"/>
      <c r="Y842" s="1492"/>
      <c r="Z842" s="1492"/>
      <c r="AA842" s="1492"/>
      <c r="AB842" s="1492"/>
      <c r="AC842" s="149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92">
        <v>7999.5979384706925</v>
      </c>
      <c r="X843" s="1492"/>
      <c r="Y843" s="1492"/>
      <c r="Z843" s="1492"/>
      <c r="AA843" s="1492"/>
      <c r="AB843" s="1492"/>
      <c r="AC843" s="149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92">
        <v>12000</v>
      </c>
      <c r="X844" s="1492"/>
      <c r="Y844" s="1492"/>
      <c r="Z844" s="1492"/>
      <c r="AA844" s="1492"/>
      <c r="AB844" s="1492"/>
      <c r="AC844" s="149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92">
        <v>27600</v>
      </c>
      <c r="X845" s="1492"/>
      <c r="Y845" s="1492"/>
      <c r="Z845" s="1492"/>
      <c r="AA845" s="1492"/>
      <c r="AB845" s="1492"/>
      <c r="AC845" s="1492"/>
      <c r="AZ845" s="30"/>
      <c r="BA845" s="30"/>
      <c r="BB845" s="14"/>
      <c r="BC845" s="14"/>
      <c r="BD845" s="14"/>
      <c r="BE845" s="14"/>
      <c r="BF845" s="14"/>
      <c r="BG845" s="14"/>
      <c r="BH845" s="14"/>
      <c r="BI845" s="14"/>
      <c r="BJ845" s="14"/>
      <c r="BK845" s="14"/>
      <c r="BL845" s="14"/>
    </row>
    <row r="846" spans="1:64" ht="12.95" customHeight="1">
      <c r="J846" s="45" t="s">
        <v>169</v>
      </c>
      <c r="K846" s="5"/>
      <c r="L846" s="5"/>
      <c r="M846" s="1593" t="s">
        <v>2709</v>
      </c>
      <c r="N846" s="1594"/>
      <c r="O846" s="1594"/>
      <c r="P846" s="1594"/>
      <c r="Q846" s="1594"/>
      <c r="R846" s="1594"/>
      <c r="S846" s="1594"/>
      <c r="T846" s="1594"/>
      <c r="U846" s="1594"/>
      <c r="V846" s="1595"/>
      <c r="W846" s="1492">
        <v>64000</v>
      </c>
      <c r="X846" s="1492"/>
      <c r="Y846" s="1492"/>
      <c r="Z846" s="1492"/>
      <c r="AA846" s="1492"/>
      <c r="AB846" s="1492"/>
      <c r="AC846" s="149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42">
        <f>SUM(W842:W846)</f>
        <v>116599.59793847069</v>
      </c>
      <c r="X847" s="1643"/>
      <c r="Y847" s="1643"/>
      <c r="Z847" s="1643"/>
      <c r="AA847" s="1643"/>
      <c r="AB847" s="1643"/>
      <c r="AC847" s="164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50"/>
      <c r="BH848" s="1650"/>
      <c r="BI848" s="1650"/>
      <c r="BJ848" s="1650"/>
      <c r="BK848" s="1650"/>
      <c r="BL848" s="1650"/>
    </row>
    <row r="849" spans="3:55" ht="12.95" customHeight="1">
      <c r="C849" s="2" t="s">
        <v>343</v>
      </c>
      <c r="J849" s="1608" t="s">
        <v>344</v>
      </c>
      <c r="K849" s="1609"/>
      <c r="L849" s="1609"/>
      <c r="M849" s="1609"/>
      <c r="N849" s="1609"/>
      <c r="O849" s="1609"/>
      <c r="P849" s="1609"/>
      <c r="Q849" s="1609"/>
      <c r="R849" s="1609"/>
      <c r="S849" s="1609"/>
      <c r="T849" s="1609"/>
      <c r="U849" s="1609"/>
      <c r="V849" s="1610"/>
      <c r="W849" s="1477">
        <v>103494.8082</v>
      </c>
      <c r="X849" s="1478"/>
      <c r="Y849" s="1478"/>
      <c r="Z849" s="1478"/>
      <c r="AA849" s="1478"/>
      <c r="AB849" s="1478"/>
      <c r="AC849" s="147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62"/>
      <c r="X851" s="1662"/>
      <c r="Y851" s="1662"/>
      <c r="Z851" s="1662"/>
      <c r="AA851" s="1662"/>
      <c r="AB851" s="1662"/>
      <c r="AC851" s="1662"/>
      <c r="AZ851" s="1733"/>
      <c r="BA851" s="1733"/>
      <c r="BB851" s="14"/>
      <c r="BC851" s="14"/>
    </row>
    <row r="852" spans="3:55" ht="12.95" customHeight="1">
      <c r="J852" s="45" t="s">
        <v>350</v>
      </c>
      <c r="K852" s="5"/>
      <c r="L852" s="5"/>
      <c r="M852" s="5"/>
      <c r="N852" s="5"/>
      <c r="O852" s="5"/>
      <c r="P852" s="5"/>
      <c r="Q852" s="5"/>
      <c r="R852" s="5"/>
      <c r="S852" s="5"/>
      <c r="T852" s="5"/>
      <c r="U852" s="5"/>
      <c r="V852" s="46"/>
      <c r="W852" s="1662"/>
      <c r="X852" s="1662"/>
      <c r="Y852" s="1662"/>
      <c r="Z852" s="1662"/>
      <c r="AA852" s="1662"/>
      <c r="AB852" s="1662"/>
      <c r="AC852" s="1662"/>
      <c r="AZ852" s="30"/>
      <c r="BA852" s="30"/>
      <c r="BB852" s="14"/>
      <c r="BC852" s="14"/>
    </row>
    <row r="853" spans="3:55" ht="12.95" customHeight="1">
      <c r="J853" s="45" t="s">
        <v>458</v>
      </c>
      <c r="K853" s="5"/>
      <c r="L853" s="5"/>
      <c r="M853" s="5"/>
      <c r="N853" s="5"/>
      <c r="O853" s="5"/>
      <c r="P853" s="5"/>
      <c r="Q853" s="5"/>
      <c r="R853" s="5"/>
      <c r="S853" s="5"/>
      <c r="T853" s="5"/>
      <c r="U853" s="5"/>
      <c r="V853" s="46"/>
      <c r="W853" s="1662">
        <v>34560</v>
      </c>
      <c r="X853" s="1662"/>
      <c r="Y853" s="1662"/>
      <c r="Z853" s="1662"/>
      <c r="AA853" s="1662"/>
      <c r="AB853" s="1662"/>
      <c r="AC853" s="1662"/>
      <c r="AZ853" s="30"/>
      <c r="BA853" s="30"/>
      <c r="BB853" s="14"/>
      <c r="BC853" s="14"/>
    </row>
    <row r="854" spans="3:55" ht="12.95" customHeight="1">
      <c r="J854" s="62" t="s">
        <v>619</v>
      </c>
      <c r="K854" s="5"/>
      <c r="L854" s="5"/>
      <c r="M854" s="5"/>
      <c r="N854" s="5"/>
      <c r="O854" s="5"/>
      <c r="P854" s="5"/>
      <c r="Q854" s="5"/>
      <c r="R854" s="5"/>
      <c r="S854" s="5"/>
      <c r="T854" s="5"/>
      <c r="U854" s="5"/>
      <c r="V854" s="46"/>
      <c r="W854" s="1662">
        <v>76800</v>
      </c>
      <c r="X854" s="1662"/>
      <c r="Y854" s="1662"/>
      <c r="Z854" s="1662"/>
      <c r="AA854" s="1662"/>
      <c r="AB854" s="1662"/>
      <c r="AC854" s="1662"/>
      <c r="AZ854" s="34"/>
      <c r="BA854" s="34"/>
      <c r="BB854" s="34"/>
      <c r="BC854" s="34"/>
    </row>
    <row r="855" spans="3:55" ht="12.95" customHeight="1">
      <c r="J855" s="63"/>
      <c r="K855" s="48"/>
      <c r="L855" s="48"/>
      <c r="M855" s="48"/>
      <c r="N855" s="48"/>
      <c r="O855" s="48"/>
      <c r="P855" s="48"/>
      <c r="Q855" s="48"/>
      <c r="R855" s="48"/>
      <c r="S855" s="48"/>
      <c r="T855" s="48"/>
      <c r="U855" s="48"/>
      <c r="V855" s="54" t="s">
        <v>271</v>
      </c>
      <c r="W855" s="1678">
        <f>SUM(W851:W854)</f>
        <v>111360</v>
      </c>
      <c r="X855" s="1678"/>
      <c r="Y855" s="1678"/>
      <c r="Z855" s="1678"/>
      <c r="AA855" s="1678"/>
      <c r="AB855" s="1678"/>
      <c r="AC855" s="1678"/>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52">
        <v>114400</v>
      </c>
      <c r="X857" s="1653"/>
      <c r="Y857" s="1653"/>
      <c r="Z857" s="1653"/>
      <c r="AA857" s="1653"/>
      <c r="AB857" s="1653"/>
      <c r="AC857" s="1654"/>
      <c r="AD857" s="528"/>
      <c r="AZ857" s="34"/>
      <c r="BA857" s="34"/>
      <c r="BB857" s="34"/>
      <c r="BC857" s="34"/>
    </row>
    <row r="858" spans="3:55" ht="12.95" customHeight="1">
      <c r="C858" s="2" t="s">
        <v>346</v>
      </c>
      <c r="J858" s="121" t="s">
        <v>1653</v>
      </c>
      <c r="K858" s="5"/>
      <c r="L858" s="5"/>
      <c r="M858" s="5"/>
      <c r="N858" s="5"/>
      <c r="O858" s="5"/>
      <c r="P858" s="5"/>
      <c r="Q858" s="5"/>
      <c r="R858" s="5"/>
      <c r="S858" s="5"/>
      <c r="T858" s="1665" t="s">
        <v>2710</v>
      </c>
      <c r="U858" s="1666"/>
      <c r="V858" s="1667"/>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2">
        <v>65520</v>
      </c>
      <c r="X859" s="1653"/>
      <c r="Y859" s="1653"/>
      <c r="Z859" s="1653"/>
      <c r="AA859" s="1653"/>
      <c r="AB859" s="1653"/>
      <c r="AC859" s="1654"/>
      <c r="AD859" s="533"/>
      <c r="AZ859" s="34"/>
      <c r="BA859" s="34"/>
      <c r="BB859" s="34"/>
      <c r="BC859" s="34"/>
    </row>
    <row r="860" spans="3:55" ht="12.95" customHeight="1">
      <c r="C860" s="2"/>
      <c r="J860" s="121" t="s">
        <v>1654</v>
      </c>
      <c r="K860" s="5"/>
      <c r="L860" s="5"/>
      <c r="M860" s="5"/>
      <c r="N860" s="5"/>
      <c r="O860" s="5"/>
      <c r="P860" s="5"/>
      <c r="Q860" s="5"/>
      <c r="R860" s="5"/>
      <c r="S860" s="5"/>
      <c r="T860" s="1668">
        <v>1</v>
      </c>
      <c r="U860" s="1666"/>
      <c r="V860" s="1667"/>
      <c r="W860" s="874"/>
      <c r="X860" s="875"/>
      <c r="Y860" s="875"/>
      <c r="Z860" s="875"/>
      <c r="AA860" s="875"/>
      <c r="AB860" s="875"/>
      <c r="AC860" s="876"/>
      <c r="AD860" s="533"/>
      <c r="AZ860" s="34"/>
      <c r="BA860" s="34"/>
      <c r="BB860" s="34"/>
      <c r="BC860" s="34"/>
    </row>
    <row r="861" spans="3:55" ht="12.95" customHeight="1">
      <c r="J861" s="45" t="s">
        <v>169</v>
      </c>
      <c r="K861" s="5"/>
      <c r="L861" s="5"/>
      <c r="M861" s="1593" t="s">
        <v>2711</v>
      </c>
      <c r="N861" s="1594"/>
      <c r="O861" s="1594"/>
      <c r="P861" s="1594"/>
      <c r="Q861" s="1594"/>
      <c r="R861" s="1594"/>
      <c r="S861" s="1594"/>
      <c r="T861" s="1594"/>
      <c r="U861" s="1594"/>
      <c r="V861" s="1595"/>
      <c r="W861" s="1652">
        <v>107683.52999999998</v>
      </c>
      <c r="X861" s="1653"/>
      <c r="Y861" s="1653"/>
      <c r="Z861" s="1653"/>
      <c r="AA861" s="1653"/>
      <c r="AB861" s="1653"/>
      <c r="AC861" s="1654"/>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69">
        <f>SUM(W857:W861)</f>
        <v>287603.52999999997</v>
      </c>
      <c r="X862" s="1670"/>
      <c r="Y862" s="1670"/>
      <c r="Z862" s="1670"/>
      <c r="AA862" s="1670"/>
      <c r="AB862" s="1670"/>
      <c r="AC862" s="1671"/>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2">
        <v>121600</v>
      </c>
      <c r="X863" s="1653"/>
      <c r="Y863" s="1653"/>
      <c r="Z863" s="1653"/>
      <c r="AA863" s="1653"/>
      <c r="AB863" s="1653"/>
      <c r="AC863" s="1654"/>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92">
        <v>29440</v>
      </c>
      <c r="X865" s="1492"/>
      <c r="Y865" s="1492"/>
      <c r="Z865" s="1492"/>
      <c r="AA865" s="1492"/>
      <c r="AB865" s="1492"/>
      <c r="AC865" s="1492"/>
      <c r="AU865" s="14"/>
      <c r="AZ865" s="34"/>
      <c r="BA865" s="34"/>
      <c r="BB865" s="34"/>
      <c r="BC865" s="34"/>
    </row>
    <row r="866" spans="3:55" ht="12.95" customHeight="1">
      <c r="J866" s="45" t="s">
        <v>521</v>
      </c>
      <c r="K866" s="5"/>
      <c r="L866" s="5"/>
      <c r="M866" s="5"/>
      <c r="N866" s="5"/>
      <c r="O866" s="5"/>
      <c r="P866" s="5"/>
      <c r="Q866" s="5"/>
      <c r="R866" s="5"/>
      <c r="S866" s="5"/>
      <c r="T866" s="5"/>
      <c r="U866" s="5"/>
      <c r="V866" s="46"/>
      <c r="W866" s="1492">
        <v>25600</v>
      </c>
      <c r="X866" s="1492"/>
      <c r="Y866" s="1492"/>
      <c r="Z866" s="1492"/>
      <c r="AA866" s="1492"/>
      <c r="AB866" s="1492"/>
      <c r="AC866" s="1492"/>
      <c r="AU866" s="4"/>
      <c r="AZ866" s="34"/>
      <c r="BA866" s="34"/>
      <c r="BB866" s="34"/>
      <c r="BC866" s="34"/>
    </row>
    <row r="867" spans="3:55" ht="12.95" customHeight="1">
      <c r="J867" s="45" t="s">
        <v>520</v>
      </c>
      <c r="K867" s="5"/>
      <c r="L867" s="5"/>
      <c r="M867" s="5"/>
      <c r="N867" s="5"/>
      <c r="O867" s="5"/>
      <c r="P867" s="5"/>
      <c r="Q867" s="5"/>
      <c r="R867" s="5"/>
      <c r="S867" s="5"/>
      <c r="T867" s="5"/>
      <c r="U867" s="5"/>
      <c r="V867" s="46"/>
      <c r="W867" s="1492">
        <v>33000</v>
      </c>
      <c r="X867" s="1492"/>
      <c r="Y867" s="1492"/>
      <c r="Z867" s="1492"/>
      <c r="AA867" s="1492"/>
      <c r="AB867" s="1492"/>
      <c r="AC867" s="1492"/>
      <c r="AU867" s="4"/>
      <c r="AZ867" s="34"/>
      <c r="BA867" s="34"/>
      <c r="BB867" s="34"/>
      <c r="BC867" s="34"/>
    </row>
    <row r="868" spans="3:55" ht="12.95" customHeight="1">
      <c r="J868" s="45" t="s">
        <v>519</v>
      </c>
      <c r="K868" s="5"/>
      <c r="L868" s="5"/>
      <c r="M868" s="5"/>
      <c r="N868" s="5"/>
      <c r="O868" s="5"/>
      <c r="P868" s="5"/>
      <c r="Q868" s="5"/>
      <c r="R868" s="5"/>
      <c r="S868" s="5"/>
      <c r="T868" s="5"/>
      <c r="U868" s="5"/>
      <c r="V868" s="46"/>
      <c r="W868" s="1492">
        <v>4000</v>
      </c>
      <c r="X868" s="1492"/>
      <c r="Y868" s="1492"/>
      <c r="Z868" s="1492"/>
      <c r="AA868" s="1492"/>
      <c r="AB868" s="1492"/>
      <c r="AC868" s="1492"/>
      <c r="AU868" s="4"/>
      <c r="AZ868" s="34"/>
      <c r="BA868" s="34"/>
      <c r="BB868" s="34"/>
      <c r="BC868" s="34"/>
    </row>
    <row r="869" spans="3:55" ht="12.95" customHeight="1">
      <c r="J869" s="45" t="s">
        <v>518</v>
      </c>
      <c r="K869" s="5"/>
      <c r="L869" s="5"/>
      <c r="M869" s="5"/>
      <c r="N869" s="5"/>
      <c r="O869" s="5"/>
      <c r="P869" s="5"/>
      <c r="Q869" s="5"/>
      <c r="R869" s="5"/>
      <c r="S869" s="5"/>
      <c r="T869" s="5"/>
      <c r="U869" s="5"/>
      <c r="V869" s="46"/>
      <c r="W869" s="1492">
        <v>12000</v>
      </c>
      <c r="X869" s="1492"/>
      <c r="Y869" s="1492"/>
      <c r="Z869" s="1492"/>
      <c r="AA869" s="1492"/>
      <c r="AB869" s="1492"/>
      <c r="AC869" s="1492"/>
      <c r="AU869" s="4"/>
      <c r="AZ869" s="34"/>
      <c r="BA869" s="34"/>
      <c r="BB869" s="34"/>
      <c r="BC869" s="34"/>
    </row>
    <row r="870" spans="3:55" ht="12.95" customHeight="1">
      <c r="J870" s="45" t="s">
        <v>517</v>
      </c>
      <c r="K870" s="5"/>
      <c r="L870" s="5"/>
      <c r="M870" s="5"/>
      <c r="N870" s="5"/>
      <c r="O870" s="5"/>
      <c r="P870" s="5"/>
      <c r="Q870" s="5"/>
      <c r="R870" s="5"/>
      <c r="S870" s="5"/>
      <c r="T870" s="5"/>
      <c r="U870" s="5"/>
      <c r="V870" s="46"/>
      <c r="W870" s="1492">
        <v>14000</v>
      </c>
      <c r="X870" s="1492"/>
      <c r="Y870" s="1492"/>
      <c r="Z870" s="1492"/>
      <c r="AA870" s="1492"/>
      <c r="AB870" s="1492"/>
      <c r="AC870" s="1492"/>
      <c r="AU870" s="4"/>
      <c r="AZ870" s="34"/>
      <c r="BA870" s="34"/>
      <c r="BB870" s="34"/>
      <c r="BC870" s="34"/>
    </row>
    <row r="871" spans="3:55" ht="12.95" customHeight="1">
      <c r="J871" s="45" t="s">
        <v>169</v>
      </c>
      <c r="K871" s="5"/>
      <c r="L871" s="5"/>
      <c r="M871" s="1593" t="s">
        <v>2712</v>
      </c>
      <c r="N871" s="1594"/>
      <c r="O871" s="1594"/>
      <c r="P871" s="1594"/>
      <c r="Q871" s="1594"/>
      <c r="R871" s="1594"/>
      <c r="S871" s="1594"/>
      <c r="T871" s="1594"/>
      <c r="U871" s="1594"/>
      <c r="V871" s="1595"/>
      <c r="W871" s="1492">
        <v>7400</v>
      </c>
      <c r="X871" s="1492"/>
      <c r="Y871" s="1492"/>
      <c r="Z871" s="1492"/>
      <c r="AA871" s="1492"/>
      <c r="AB871" s="1492"/>
      <c r="AC871" s="149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64">
        <f>SUM(W865:W871)</f>
        <v>125440</v>
      </c>
      <c r="X872" s="1664"/>
      <c r="Y872" s="1664"/>
      <c r="Z872" s="1664"/>
      <c r="AA872" s="1664"/>
      <c r="AB872" s="1664"/>
      <c r="AC872" s="166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169</v>
      </c>
      <c r="K874" s="5"/>
      <c r="L874" s="5"/>
      <c r="M874" s="1593"/>
      <c r="N874" s="1594"/>
      <c r="O874" s="1594"/>
      <c r="P874" s="1594"/>
      <c r="Q874" s="1594"/>
      <c r="R874" s="1594"/>
      <c r="S874" s="1594"/>
      <c r="T874" s="1594"/>
      <c r="U874" s="1594"/>
      <c r="V874" s="1595"/>
      <c r="W874" s="1477"/>
      <c r="X874" s="1478"/>
      <c r="Y874" s="1478"/>
      <c r="Z874" s="1478"/>
      <c r="AA874" s="1478"/>
      <c r="AB874" s="1478"/>
      <c r="AC874" s="1479"/>
      <c r="AD874" s="533"/>
      <c r="AV874" s="14"/>
      <c r="AW874" s="14"/>
      <c r="AX874" s="14"/>
      <c r="AY874" s="14"/>
      <c r="AZ874" s="34"/>
      <c r="BA874" s="34"/>
      <c r="BB874" s="34"/>
      <c r="BC874" s="34"/>
    </row>
    <row r="875" spans="3:55" ht="12.95" customHeight="1">
      <c r="C875" s="2" t="s">
        <v>1242</v>
      </c>
      <c r="J875" s="45" t="s">
        <v>169</v>
      </c>
      <c r="K875" s="5"/>
      <c r="L875" s="5"/>
      <c r="M875" s="1593"/>
      <c r="N875" s="1594"/>
      <c r="O875" s="1594"/>
      <c r="P875" s="1594"/>
      <c r="Q875" s="1594"/>
      <c r="R875" s="1594"/>
      <c r="S875" s="1594"/>
      <c r="T875" s="1594"/>
      <c r="U875" s="1594"/>
      <c r="V875" s="1595"/>
      <c r="W875" s="1477"/>
      <c r="X875" s="1478"/>
      <c r="Y875" s="1478"/>
      <c r="Z875" s="1478"/>
      <c r="AA875" s="1478"/>
      <c r="AB875" s="1478"/>
      <c r="AC875" s="1479"/>
      <c r="AD875" s="533"/>
      <c r="AV875" s="14"/>
      <c r="AW875" s="14"/>
      <c r="AX875" s="14"/>
      <c r="AY875" s="14"/>
      <c r="AZ875" s="34"/>
      <c r="BA875" s="34"/>
      <c r="BB875" s="34"/>
      <c r="BC875" s="34"/>
    </row>
    <row r="876" spans="3:55" ht="12.95" customHeight="1">
      <c r="J876" s="45" t="s">
        <v>169</v>
      </c>
      <c r="K876" s="5"/>
      <c r="L876" s="5"/>
      <c r="M876" s="1593"/>
      <c r="N876" s="1594"/>
      <c r="O876" s="1594"/>
      <c r="P876" s="1594"/>
      <c r="Q876" s="1594"/>
      <c r="R876" s="1594"/>
      <c r="S876" s="1594"/>
      <c r="T876" s="1594"/>
      <c r="U876" s="1594"/>
      <c r="V876" s="1595"/>
      <c r="W876" s="1477"/>
      <c r="X876" s="1478"/>
      <c r="Y876" s="1478"/>
      <c r="Z876" s="1478"/>
      <c r="AA876" s="1478"/>
      <c r="AB876" s="1478"/>
      <c r="AC876" s="147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3"/>
      <c r="N877" s="1594"/>
      <c r="O877" s="1594"/>
      <c r="P877" s="1594"/>
      <c r="Q877" s="1594"/>
      <c r="R877" s="1594"/>
      <c r="S877" s="1594"/>
      <c r="T877" s="1594"/>
      <c r="U877" s="1594"/>
      <c r="V877" s="1595"/>
      <c r="W877" s="1477"/>
      <c r="X877" s="1478"/>
      <c r="Y877" s="1478"/>
      <c r="Z877" s="1478"/>
      <c r="AA877" s="1478"/>
      <c r="AB877" s="1478"/>
      <c r="AC877" s="147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3" t="s">
        <v>333</v>
      </c>
      <c r="N878" s="1594"/>
      <c r="O878" s="1594"/>
      <c r="P878" s="1594"/>
      <c r="Q878" s="1594"/>
      <c r="R878" s="1594"/>
      <c r="S878" s="1594"/>
      <c r="T878" s="1594"/>
      <c r="U878" s="1594"/>
      <c r="V878" s="1595"/>
      <c r="W878" s="1477"/>
      <c r="X878" s="1478"/>
      <c r="Y878" s="1478"/>
      <c r="Z878" s="1478"/>
      <c r="AA878" s="1478"/>
      <c r="AB878" s="1478"/>
      <c r="AC878" s="147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42">
        <f>SUM(W874:W878)</f>
        <v>0</v>
      </c>
      <c r="X879" s="1643"/>
      <c r="Y879" s="1643"/>
      <c r="Z879" s="1643"/>
      <c r="AA879" s="1643"/>
      <c r="AB879" s="1643"/>
      <c r="AC879" s="164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43">
        <f>W847+W855+W862+W863+W872+W879+W849</f>
        <v>866097.93613847066</v>
      </c>
      <c r="AD883" s="1643"/>
      <c r="AE883" s="1643"/>
      <c r="AF883" s="1643"/>
      <c r="AG883" s="1643"/>
      <c r="AH883" s="164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72">
        <f>O797+O777+G753</f>
        <v>128</v>
      </c>
      <c r="AD884" s="1672"/>
      <c r="AE884" s="1672"/>
      <c r="AF884" s="1672"/>
      <c r="AG884" s="1672"/>
      <c r="AH884" s="1673"/>
      <c r="AL884" s="4"/>
      <c r="AM884" s="4"/>
      <c r="AN884" s="4"/>
      <c r="AO884" s="4"/>
      <c r="AP884" s="4"/>
      <c r="AQ884" s="4"/>
      <c r="AR884" s="4"/>
      <c r="AS884" s="4"/>
      <c r="AT884" s="4"/>
      <c r="AZ884" s="34"/>
      <c r="BA884" s="34"/>
      <c r="BB884" s="34"/>
      <c r="BC884" s="34"/>
    </row>
    <row r="885" spans="3:55" ht="12.95" customHeight="1">
      <c r="C885" s="41"/>
      <c r="D885" s="42"/>
      <c r="E885" s="1630" t="s">
        <v>32</v>
      </c>
      <c r="F885" s="1630"/>
      <c r="G885" s="1630"/>
      <c r="H885" s="1630"/>
      <c r="I885" s="1630"/>
      <c r="J885" s="1630"/>
      <c r="K885" s="1630"/>
      <c r="L885" s="1630"/>
      <c r="M885" s="1630"/>
      <c r="N885" s="1630"/>
      <c r="O885" s="1630"/>
      <c r="P885" s="1630"/>
      <c r="Q885" s="1630"/>
      <c r="R885" s="1630"/>
      <c r="S885" s="1630"/>
      <c r="T885" s="1630"/>
      <c r="U885" s="1630"/>
      <c r="V885" s="1630"/>
      <c r="W885" s="1630"/>
      <c r="X885" s="1630"/>
      <c r="Y885" s="1630"/>
      <c r="Z885" s="1630"/>
      <c r="AA885" s="1630"/>
      <c r="AB885" s="1631"/>
      <c r="AC885" s="1664">
        <f>IF(ISERROR((ROUNDDOWN(AC883/AC884,0))),0,(ROUNDDOWN(AC883/AC884,0)))</f>
        <v>6766</v>
      </c>
      <c r="AD885" s="1664"/>
      <c r="AE885" s="1664"/>
      <c r="AF885" s="1664"/>
      <c r="AG885" s="1664"/>
      <c r="AH885" s="166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31">
        <v>730778</v>
      </c>
      <c r="AD886" s="1732"/>
      <c r="AE886" s="1732"/>
      <c r="AF886" s="1732"/>
      <c r="AG886" s="1732"/>
      <c r="AH886" s="173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9"/>
      <c r="AD887" s="1492"/>
      <c r="AE887" s="1492"/>
      <c r="AF887" s="1492"/>
      <c r="AG887" s="1492"/>
      <c r="AH887" s="149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78">
        <v>18000</v>
      </c>
      <c r="AD888" s="1478"/>
      <c r="AE888" s="1478"/>
      <c r="AF888" s="1478"/>
      <c r="AG888" s="1478"/>
      <c r="AH888" s="147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8">
        <v>32000</v>
      </c>
      <c r="AD889" s="1478"/>
      <c r="AE889" s="1478"/>
      <c r="AF889" s="1478"/>
      <c r="AG889" s="1478"/>
      <c r="AH889" s="147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86"/>
      <c r="AD890" s="1487"/>
      <c r="AE890" s="1487"/>
      <c r="AF890" s="1487"/>
      <c r="AG890" s="1487"/>
      <c r="AH890" s="148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8">
        <v>5000</v>
      </c>
      <c r="AD891" s="1478"/>
      <c r="AE891" s="1478"/>
      <c r="AF891" s="1478"/>
      <c r="AG891" s="1478"/>
      <c r="AH891" s="1479"/>
      <c r="AZ891" s="34"/>
      <c r="BA891" s="34"/>
      <c r="BB891" s="34"/>
      <c r="BC891" s="34"/>
    </row>
    <row r="892" spans="3:55" ht="12.95" hidden="1" customHeight="1">
      <c r="C892" s="1608" t="s">
        <v>2232</v>
      </c>
      <c r="D892" s="1609"/>
      <c r="E892" s="1609"/>
      <c r="F892" s="1609"/>
      <c r="G892" s="1609"/>
      <c r="H892" s="1609"/>
      <c r="I892" s="1609"/>
      <c r="J892" s="1609"/>
      <c r="K892" s="1609"/>
      <c r="L892" s="1609"/>
      <c r="M892" s="1609"/>
      <c r="N892" s="1609"/>
      <c r="O892" s="1609"/>
      <c r="P892" s="1609"/>
      <c r="Q892" s="1609"/>
      <c r="R892" s="1609"/>
      <c r="S892" s="1609"/>
      <c r="T892" s="1609"/>
      <c r="U892" s="1609"/>
      <c r="V892" s="1609"/>
      <c r="W892" s="1609"/>
      <c r="X892" s="1609"/>
      <c r="Y892" s="1609"/>
      <c r="Z892" s="1609"/>
      <c r="AA892" s="1609"/>
      <c r="AB892" s="1610"/>
      <c r="AC892" s="1478"/>
      <c r="AD892" s="1478"/>
      <c r="AE892" s="1478"/>
      <c r="AF892" s="1478"/>
      <c r="AG892" s="1478"/>
      <c r="AH892" s="147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78"/>
      <c r="AD893" s="1478"/>
      <c r="AE893" s="1478"/>
      <c r="AF893" s="1478"/>
      <c r="AG893" s="1478"/>
      <c r="AH893" s="1479"/>
      <c r="AZ893" s="34"/>
      <c r="BA893" s="34"/>
      <c r="BB893" s="34"/>
      <c r="BC893" s="34"/>
    </row>
    <row r="894" spans="3:55" ht="12.95" customHeight="1">
      <c r="C894" s="1655" t="s">
        <v>2751</v>
      </c>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492">
        <v>33792</v>
      </c>
      <c r="AD894" s="1492"/>
      <c r="AE894" s="1492"/>
      <c r="AF894" s="1492"/>
      <c r="AG894" s="1492"/>
      <c r="AH894" s="1492"/>
      <c r="AZ894" s="34"/>
      <c r="BA894" s="34"/>
      <c r="BB894" s="34"/>
      <c r="BC894" s="34"/>
    </row>
    <row r="895" spans="3:55" ht="12.95" customHeight="1">
      <c r="C895" s="1655" t="s">
        <v>2740</v>
      </c>
      <c r="D895" s="1656"/>
      <c r="E895" s="1656"/>
      <c r="F895" s="1656"/>
      <c r="G895" s="1656"/>
      <c r="H895" s="1656"/>
      <c r="I895" s="1656"/>
      <c r="J895" s="1656"/>
      <c r="K895" s="1656"/>
      <c r="L895" s="1656"/>
      <c r="M895" s="1656"/>
      <c r="N895" s="1656"/>
      <c r="O895" s="1656"/>
      <c r="P895" s="1656"/>
      <c r="Q895" s="1656"/>
      <c r="R895" s="1656"/>
      <c r="S895" s="1656"/>
      <c r="T895" s="1656"/>
      <c r="U895" s="1656"/>
      <c r="V895" s="1656"/>
      <c r="W895" s="1656"/>
      <c r="X895" s="1656"/>
      <c r="Y895" s="1656"/>
      <c r="Z895" s="1656"/>
      <c r="AA895" s="1656"/>
      <c r="AB895" s="1657"/>
      <c r="AC895" s="1492">
        <v>34071</v>
      </c>
      <c r="AD895" s="1492"/>
      <c r="AE895" s="1492"/>
      <c r="AF895" s="1492"/>
      <c r="AG895" s="1492"/>
      <c r="AH895" s="149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7"/>
      <c r="AA899" s="1478"/>
      <c r="AB899" s="1478"/>
      <c r="AC899" s="1478"/>
      <c r="AD899" s="1478"/>
      <c r="AE899" s="1479"/>
      <c r="AF899" s="533"/>
      <c r="AZ899" s="34"/>
      <c r="BB899" s="30"/>
      <c r="BC899" s="816"/>
      <c r="BD899" s="1651"/>
      <c r="BE899" s="165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7"/>
      <c r="AA900" s="1478"/>
      <c r="AB900" s="1478"/>
      <c r="AC900" s="1478"/>
      <c r="AD900" s="1478"/>
      <c r="AE900" s="1479"/>
      <c r="AZ900" s="34"/>
      <c r="BB900" s="30"/>
      <c r="BC900" s="816"/>
      <c r="BD900" s="1651"/>
      <c r="BE900" s="165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7"/>
      <c r="AA901" s="1478"/>
      <c r="AB901" s="1478"/>
      <c r="AC901" s="1478"/>
      <c r="AD901" s="1478"/>
      <c r="AE901" s="1479"/>
      <c r="AZ901" s="34"/>
      <c r="BB901" s="30"/>
      <c r="BC901" s="816"/>
      <c r="BD901" s="1650"/>
      <c r="BE901" s="165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42">
        <f>Z899-(Z900+Z901)</f>
        <v>0</v>
      </c>
      <c r="AA902" s="1643"/>
      <c r="AB902" s="1643"/>
      <c r="AC902" s="1643"/>
      <c r="AD902" s="1643"/>
      <c r="AE902" s="1644"/>
      <c r="AZ902" s="34"/>
      <c r="BB902" s="30"/>
      <c r="BC902" s="816"/>
      <c r="BD902" s="1650"/>
      <c r="BE902" s="165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50"/>
      <c r="BE903" s="165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1"/>
      <c r="BE904" s="165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8"/>
      <c r="BE905" s="1658"/>
      <c r="BF905" s="1658"/>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7"/>
      <c r="BE906" s="1677"/>
      <c r="BF906" s="1677"/>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50"/>
      <c r="BE907" s="165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1"/>
      <c r="BE908" s="1650"/>
      <c r="BF908" s="14"/>
    </row>
    <row r="909" spans="1:58" ht="12.95" customHeight="1">
      <c r="AZ909" s="34"/>
      <c r="BB909" s="30"/>
      <c r="BC909" s="816"/>
    </row>
    <row r="910" spans="1:58" ht="12.95" customHeight="1">
      <c r="A910" s="1436" t="s">
        <v>96</v>
      </c>
      <c r="B910" s="1436"/>
      <c r="C910" s="1436"/>
      <c r="D910" s="1436"/>
      <c r="E910" s="1436"/>
      <c r="F910" s="1436"/>
      <c r="G910" s="1436"/>
      <c r="H910" s="1436"/>
      <c r="I910" s="1436"/>
      <c r="J910" s="1436"/>
      <c r="K910" s="1436"/>
      <c r="L910" s="1436"/>
      <c r="M910" s="1436"/>
      <c r="N910" s="1436"/>
      <c r="O910" s="1436"/>
      <c r="P910" s="1436"/>
      <c r="Q910" s="1436"/>
      <c r="R910" s="1436"/>
      <c r="S910" s="1436"/>
      <c r="T910" s="1436"/>
      <c r="U910" s="1436"/>
      <c r="V910" s="1436"/>
      <c r="W910" s="1436"/>
      <c r="X910" s="1436"/>
      <c r="Y910" s="1436"/>
      <c r="Z910" s="1436"/>
      <c r="AA910" s="1436"/>
      <c r="AB910" s="1436"/>
      <c r="AC910" s="1436"/>
      <c r="AD910" s="1436"/>
      <c r="AE910" s="1436"/>
      <c r="AF910" s="1436"/>
      <c r="AG910" s="1436"/>
      <c r="AH910" s="1436"/>
      <c r="AI910" s="1436"/>
      <c r="AJ910" s="1436"/>
      <c r="AK910" s="1436"/>
      <c r="AL910" s="1436"/>
      <c r="AM910" s="1436"/>
      <c r="AN910" s="1436"/>
      <c r="AO910" s="1436"/>
      <c r="AP910" s="1436"/>
      <c r="AQ910" s="1436"/>
      <c r="AR910" s="1436"/>
      <c r="AS910" s="1436"/>
      <c r="AT910" s="1436"/>
      <c r="AZ910" s="34"/>
      <c r="BA910" s="34"/>
      <c r="BB910" s="30"/>
      <c r="BC910" s="30"/>
      <c r="BD910" s="1651"/>
      <c r="BE910" s="1650"/>
      <c r="BF910" s="911"/>
    </row>
    <row r="911" spans="1:58" ht="12.95" customHeight="1">
      <c r="A911" s="1436"/>
      <c r="B911" s="1436"/>
      <c r="C911" s="1436"/>
      <c r="D911" s="1436"/>
      <c r="E911" s="1436"/>
      <c r="F911" s="1436"/>
      <c r="G911" s="1436"/>
      <c r="H911" s="1436"/>
      <c r="I911" s="1436"/>
      <c r="J911" s="1436"/>
      <c r="K911" s="1436"/>
      <c r="L911" s="1436"/>
      <c r="M911" s="1436"/>
      <c r="N911" s="1436"/>
      <c r="O911" s="1436"/>
      <c r="P911" s="1436"/>
      <c r="Q911" s="1436"/>
      <c r="R911" s="1436"/>
      <c r="S911" s="1436"/>
      <c r="T911" s="1436"/>
      <c r="U911" s="1436"/>
      <c r="V911" s="1436"/>
      <c r="W911" s="1436"/>
      <c r="X911" s="1436"/>
      <c r="Y911" s="1436"/>
      <c r="Z911" s="1436"/>
      <c r="AA911" s="1436"/>
      <c r="AB911" s="1436"/>
      <c r="AC911" s="1436"/>
      <c r="AD911" s="1436"/>
      <c r="AE911" s="1436"/>
      <c r="AF911" s="1436"/>
      <c r="AG911" s="1436"/>
      <c r="AH911" s="1436"/>
      <c r="AI911" s="1436"/>
      <c r="AJ911" s="1436"/>
      <c r="AK911" s="1436"/>
      <c r="AL911" s="1436"/>
      <c r="AM911" s="1436"/>
      <c r="AN911" s="1436"/>
      <c r="AO911" s="1436"/>
      <c r="AP911" s="1436"/>
      <c r="AQ911" s="1436"/>
      <c r="AR911" s="1436"/>
      <c r="AS911" s="1436"/>
      <c r="AT911" s="14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74" t="s">
        <v>791</v>
      </c>
      <c r="G915" s="1675"/>
      <c r="H915" s="1675"/>
      <c r="I915" s="1675"/>
      <c r="J915" s="1675"/>
      <c r="K915" s="1675"/>
      <c r="L915" s="1675"/>
      <c r="M915" s="1675"/>
      <c r="N915" s="1675"/>
      <c r="O915" s="1675"/>
      <c r="P915" s="1675"/>
      <c r="Q915" s="1675"/>
      <c r="R915" s="1675"/>
      <c r="S915" s="1675"/>
      <c r="T915" s="1676"/>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817</v>
      </c>
      <c r="G916" s="1587"/>
      <c r="H916" s="1587"/>
      <c r="I916" s="1587"/>
      <c r="J916" s="1587"/>
      <c r="K916" s="1587"/>
      <c r="L916" s="1587"/>
      <c r="M916" s="1587"/>
      <c r="N916" s="1587"/>
      <c r="O916" s="1587"/>
      <c r="P916" s="1587"/>
      <c r="Q916" s="1587"/>
      <c r="R916" s="1587"/>
      <c r="S916" s="1587"/>
      <c r="T916" s="1597"/>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598"/>
      <c r="U917" s="1588"/>
      <c r="V917" s="1589"/>
      <c r="W917" s="1589"/>
      <c r="X917" s="1589"/>
      <c r="Y917" s="1589"/>
      <c r="Z917" s="1589"/>
      <c r="AA917" s="108"/>
      <c r="AB917" s="1730" t="s">
        <v>390</v>
      </c>
      <c r="AC917" s="1730"/>
      <c r="AD917" s="1730"/>
      <c r="AE917" s="1730"/>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379" t="s">
        <v>544</v>
      </c>
      <c r="V918" s="1380"/>
      <c r="W918" s="1380"/>
      <c r="X918" s="1380"/>
      <c r="Y918" s="1380"/>
      <c r="Z918" s="1381"/>
      <c r="AA918" s="1556">
        <f>AM554+AM556</f>
        <v>32200000</v>
      </c>
      <c r="AB918" s="1557"/>
      <c r="AC918" s="1557"/>
      <c r="AD918" s="1557"/>
      <c r="AE918" s="1557"/>
      <c r="AF918" s="1558"/>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379" t="s">
        <v>544</v>
      </c>
      <c r="V919" s="1380"/>
      <c r="W919" s="1380"/>
      <c r="X919" s="1380"/>
      <c r="Y919" s="1380"/>
      <c r="Z919" s="1381"/>
      <c r="AA919" s="1556">
        <f>AM555</f>
        <v>8870000</v>
      </c>
      <c r="AB919" s="1557"/>
      <c r="AC919" s="1557"/>
      <c r="AD919" s="1557"/>
      <c r="AE919" s="1557"/>
      <c r="AF919" s="1558"/>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379" t="s">
        <v>590</v>
      </c>
      <c r="V920" s="1380"/>
      <c r="W920" s="1380"/>
      <c r="X920" s="1380"/>
      <c r="Y920" s="1380"/>
      <c r="Z920" s="1381"/>
      <c r="AA920" s="1556"/>
      <c r="AB920" s="1557"/>
      <c r="AC920" s="1557"/>
      <c r="AD920" s="1557"/>
      <c r="AE920" s="1557"/>
      <c r="AF920" s="1558"/>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379" t="s">
        <v>590</v>
      </c>
      <c r="V921" s="1380"/>
      <c r="W921" s="1380"/>
      <c r="X921" s="1380"/>
      <c r="Y921" s="1380"/>
      <c r="Z921" s="1381"/>
      <c r="AA921" s="1556"/>
      <c r="AB921" s="1557"/>
      <c r="AC921" s="1557"/>
      <c r="AD921" s="1557"/>
      <c r="AE921" s="1557"/>
      <c r="AF921" s="1558"/>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379" t="s">
        <v>590</v>
      </c>
      <c r="V922" s="1380"/>
      <c r="W922" s="1380"/>
      <c r="X922" s="1380"/>
      <c r="Y922" s="1380"/>
      <c r="Z922" s="1381"/>
      <c r="AA922" s="1556"/>
      <c r="AB922" s="1557"/>
      <c r="AC922" s="1557"/>
      <c r="AD922" s="1557"/>
      <c r="AE922" s="1557"/>
      <c r="AF922" s="1558"/>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379" t="s">
        <v>590</v>
      </c>
      <c r="V923" s="1380"/>
      <c r="W923" s="1380"/>
      <c r="X923" s="1380"/>
      <c r="Y923" s="1380"/>
      <c r="Z923" s="1381"/>
      <c r="AA923" s="1556"/>
      <c r="AB923" s="1557"/>
      <c r="AC923" s="1557"/>
      <c r="AD923" s="1557"/>
      <c r="AE923" s="1557"/>
      <c r="AF923" s="1558"/>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379" t="s">
        <v>590</v>
      </c>
      <c r="V924" s="1380"/>
      <c r="W924" s="1380"/>
      <c r="X924" s="1380"/>
      <c r="Y924" s="1380"/>
      <c r="Z924" s="1381"/>
      <c r="AA924" s="1556"/>
      <c r="AB924" s="1557"/>
      <c r="AC924" s="1557"/>
      <c r="AD924" s="1557"/>
      <c r="AE924" s="1557"/>
      <c r="AF924" s="1558"/>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379" t="s">
        <v>590</v>
      </c>
      <c r="V925" s="1380"/>
      <c r="W925" s="1380"/>
      <c r="X925" s="1380"/>
      <c r="Y925" s="1380"/>
      <c r="Z925" s="1381"/>
      <c r="AA925" s="1556"/>
      <c r="AB925" s="1557"/>
      <c r="AC925" s="1557"/>
      <c r="AD925" s="1557"/>
      <c r="AE925" s="1557"/>
      <c r="AF925" s="1558"/>
      <c r="AZ925" s="34"/>
      <c r="BA925" s="34"/>
      <c r="BB925" s="34"/>
      <c r="BC925" s="34"/>
    </row>
    <row r="926" spans="1:58" ht="12.95" customHeight="1">
      <c r="F926" s="1599" t="s">
        <v>2191</v>
      </c>
      <c r="G926" s="1600"/>
      <c r="H926" s="1600"/>
      <c r="I926" s="1600"/>
      <c r="J926" s="1600"/>
      <c r="K926" s="1600"/>
      <c r="L926" s="1600"/>
      <c r="M926" s="1600"/>
      <c r="N926" s="1600"/>
      <c r="O926" s="1600"/>
      <c r="P926" s="1600"/>
      <c r="Q926" s="1600"/>
      <c r="R926" s="1600"/>
      <c r="S926" s="1600"/>
      <c r="T926" s="1601"/>
      <c r="U926" s="1379" t="s">
        <v>590</v>
      </c>
      <c r="V926" s="1380"/>
      <c r="W926" s="1380"/>
      <c r="X926" s="1380"/>
      <c r="Y926" s="1380"/>
      <c r="Z926" s="1381"/>
      <c r="AA926" s="1556"/>
      <c r="AB926" s="1557"/>
      <c r="AC926" s="1557"/>
      <c r="AD926" s="1557"/>
      <c r="AE926" s="1557"/>
      <c r="AF926" s="1558"/>
      <c r="AZ926" s="34"/>
      <c r="BA926" s="34"/>
      <c r="BB926" s="34"/>
      <c r="BC926" s="34"/>
    </row>
    <row r="927" spans="1:58" ht="12.95" customHeight="1">
      <c r="F927" s="1599" t="s">
        <v>678</v>
      </c>
      <c r="G927" s="1600"/>
      <c r="H927" s="1600"/>
      <c r="I927" s="1600"/>
      <c r="J927" s="1600"/>
      <c r="K927" s="1600"/>
      <c r="L927" s="1600"/>
      <c r="M927" s="1600"/>
      <c r="N927" s="1600"/>
      <c r="O927" s="1600"/>
      <c r="P927" s="1600"/>
      <c r="Q927" s="1600"/>
      <c r="R927" s="1600"/>
      <c r="S927" s="1600"/>
      <c r="T927" s="1601"/>
      <c r="U927" s="1379" t="s">
        <v>590</v>
      </c>
      <c r="V927" s="1380"/>
      <c r="W927" s="1380"/>
      <c r="X927" s="1380"/>
      <c r="Y927" s="1380"/>
      <c r="Z927" s="1381"/>
      <c r="AA927" s="1556"/>
      <c r="AB927" s="1557"/>
      <c r="AC927" s="1557"/>
      <c r="AD927" s="1557"/>
      <c r="AE927" s="1557"/>
      <c r="AF927" s="1558"/>
      <c r="AU927" s="2"/>
      <c r="AZ927" s="34"/>
      <c r="BA927" s="34"/>
      <c r="BB927" s="34"/>
      <c r="BC927" s="34"/>
    </row>
    <row r="928" spans="1:58" ht="12.95" customHeight="1">
      <c r="F928" s="1599" t="s">
        <v>2192</v>
      </c>
      <c r="G928" s="1600"/>
      <c r="H928" s="1600"/>
      <c r="I928" s="1600"/>
      <c r="J928" s="1600"/>
      <c r="K928" s="1600"/>
      <c r="L928" s="1600"/>
      <c r="M928" s="1600"/>
      <c r="N928" s="1600"/>
      <c r="O928" s="1600"/>
      <c r="P928" s="1600"/>
      <c r="Q928" s="1600"/>
      <c r="R928" s="1600"/>
      <c r="S928" s="1600"/>
      <c r="T928" s="1601"/>
      <c r="U928" s="1379" t="s">
        <v>590</v>
      </c>
      <c r="V928" s="1380"/>
      <c r="W928" s="1380"/>
      <c r="X928" s="1380"/>
      <c r="Y928" s="1380"/>
      <c r="Z928" s="1381"/>
      <c r="AA928" s="1556"/>
      <c r="AB928" s="1557"/>
      <c r="AC928" s="1557"/>
      <c r="AD928" s="1557"/>
      <c r="AE928" s="1557"/>
      <c r="AF928" s="1558"/>
      <c r="AU928" s="2"/>
      <c r="AZ928" s="34"/>
      <c r="BA928" s="34"/>
      <c r="BB928" s="34"/>
      <c r="BC928" s="34"/>
    </row>
    <row r="929" spans="6:55" ht="12.95" customHeight="1">
      <c r="F929" s="1599" t="s">
        <v>2193</v>
      </c>
      <c r="G929" s="1600"/>
      <c r="H929" s="1600"/>
      <c r="I929" s="1600"/>
      <c r="J929" s="1600"/>
      <c r="K929" s="1600"/>
      <c r="L929" s="1600"/>
      <c r="M929" s="1600"/>
      <c r="N929" s="1600"/>
      <c r="O929" s="1600"/>
      <c r="P929" s="1600"/>
      <c r="Q929" s="1600"/>
      <c r="R929" s="1600"/>
      <c r="S929" s="1600"/>
      <c r="T929" s="1601"/>
      <c r="U929" s="1379" t="s">
        <v>590</v>
      </c>
      <c r="V929" s="1380"/>
      <c r="W929" s="1380"/>
      <c r="X929" s="1380"/>
      <c r="Y929" s="1380"/>
      <c r="Z929" s="1381"/>
      <c r="AA929" s="1556"/>
      <c r="AB929" s="1557"/>
      <c r="AC929" s="1557"/>
      <c r="AD929" s="1557"/>
      <c r="AE929" s="1557"/>
      <c r="AF929" s="1558"/>
      <c r="AU929" s="2"/>
      <c r="AZ929" s="34"/>
      <c r="BA929" s="34"/>
      <c r="BB929" s="34"/>
      <c r="BC929" s="34"/>
    </row>
    <row r="930" spans="6:55" ht="12.95" customHeight="1">
      <c r="F930" s="1599" t="s">
        <v>2194</v>
      </c>
      <c r="G930" s="1600"/>
      <c r="H930" s="1600"/>
      <c r="I930" s="1600"/>
      <c r="J930" s="1600"/>
      <c r="K930" s="1600"/>
      <c r="L930" s="1600"/>
      <c r="M930" s="1600"/>
      <c r="N930" s="1600"/>
      <c r="O930" s="1600"/>
      <c r="P930" s="1600"/>
      <c r="Q930" s="1600"/>
      <c r="R930" s="1600"/>
      <c r="S930" s="1600"/>
      <c r="T930" s="1601"/>
      <c r="U930" s="1379" t="s">
        <v>590</v>
      </c>
      <c r="V930" s="1380"/>
      <c r="W930" s="1380"/>
      <c r="X930" s="1380"/>
      <c r="Y930" s="1380"/>
      <c r="Z930" s="1381"/>
      <c r="AA930" s="1556"/>
      <c r="AB930" s="1557"/>
      <c r="AC930" s="1557"/>
      <c r="AD930" s="1557"/>
      <c r="AE930" s="1557"/>
      <c r="AF930" s="1558"/>
      <c r="AU930" s="2"/>
      <c r="AZ930" s="34"/>
      <c r="BA930" s="34"/>
      <c r="BB930" s="34"/>
      <c r="BC930" s="34"/>
    </row>
    <row r="931" spans="6:55" ht="12.95" customHeight="1">
      <c r="F931" s="1599" t="s">
        <v>2195</v>
      </c>
      <c r="G931" s="1600"/>
      <c r="H931" s="1600"/>
      <c r="I931" s="1600"/>
      <c r="J931" s="1600"/>
      <c r="K931" s="1600"/>
      <c r="L931" s="1600"/>
      <c r="M931" s="1600"/>
      <c r="N931" s="1600"/>
      <c r="O931" s="1600"/>
      <c r="P931" s="1600"/>
      <c r="Q931" s="1600"/>
      <c r="R931" s="1600"/>
      <c r="S931" s="1600"/>
      <c r="T931" s="1601"/>
      <c r="U931" s="1379" t="s">
        <v>590</v>
      </c>
      <c r="V931" s="1380"/>
      <c r="W931" s="1380"/>
      <c r="X931" s="1380"/>
      <c r="Y931" s="1380"/>
      <c r="Z931" s="1381"/>
      <c r="AA931" s="1556"/>
      <c r="AB931" s="1557"/>
      <c r="AC931" s="1557"/>
      <c r="AD931" s="1557"/>
      <c r="AE931" s="1557"/>
      <c r="AF931" s="1558"/>
      <c r="AU931" s="2"/>
      <c r="AZ931" s="34"/>
      <c r="BA931" s="34"/>
      <c r="BB931" s="34"/>
      <c r="BC931" s="34"/>
    </row>
    <row r="932" spans="6:55" ht="12.95" customHeight="1">
      <c r="F932" s="1599" t="s">
        <v>2196</v>
      </c>
      <c r="G932" s="1600"/>
      <c r="H932" s="1600"/>
      <c r="I932" s="1600"/>
      <c r="J932" s="1600"/>
      <c r="K932" s="1600"/>
      <c r="L932" s="1600"/>
      <c r="M932" s="1600"/>
      <c r="N932" s="1600"/>
      <c r="O932" s="1600"/>
      <c r="P932" s="1600"/>
      <c r="Q932" s="1600"/>
      <c r="R932" s="1600"/>
      <c r="S932" s="1600"/>
      <c r="T932" s="1601"/>
      <c r="U932" s="1379" t="s">
        <v>590</v>
      </c>
      <c r="V932" s="1380"/>
      <c r="W932" s="1380"/>
      <c r="X932" s="1380"/>
      <c r="Y932" s="1380"/>
      <c r="Z932" s="1381"/>
      <c r="AA932" s="1556"/>
      <c r="AB932" s="1557"/>
      <c r="AC932" s="1557"/>
      <c r="AD932" s="1557"/>
      <c r="AE932" s="1557"/>
      <c r="AF932" s="1558"/>
      <c r="AZ932" s="30"/>
      <c r="BA932" s="30"/>
    </row>
    <row r="933" spans="6:55" ht="12.95" customHeight="1">
      <c r="F933" s="178" t="s">
        <v>675</v>
      </c>
      <c r="G933" s="5"/>
      <c r="H933" s="5"/>
      <c r="I933" s="5"/>
      <c r="J933" s="5"/>
      <c r="K933" s="5"/>
      <c r="L933" s="5"/>
      <c r="M933" s="5"/>
      <c r="N933" s="5"/>
      <c r="O933" s="5"/>
      <c r="P933" s="5"/>
      <c r="Q933" s="5"/>
      <c r="R933" s="5"/>
      <c r="S933" s="5"/>
      <c r="T933" s="46"/>
      <c r="U933" s="1379" t="s">
        <v>590</v>
      </c>
      <c r="V933" s="1380"/>
      <c r="W933" s="1380"/>
      <c r="X933" s="1380"/>
      <c r="Y933" s="1380"/>
      <c r="Z933" s="1381"/>
      <c r="AA933" s="1556"/>
      <c r="AB933" s="1557"/>
      <c r="AC933" s="1557"/>
      <c r="AD933" s="1557"/>
      <c r="AE933" s="1557"/>
      <c r="AF933" s="1558"/>
    </row>
    <row r="934" spans="6:55" ht="12.95" customHeight="1">
      <c r="F934" s="121" t="s">
        <v>1275</v>
      </c>
      <c r="G934" s="5"/>
      <c r="H934" s="5"/>
      <c r="I934" s="5"/>
      <c r="J934" s="5"/>
      <c r="K934" s="5"/>
      <c r="L934" s="5"/>
      <c r="M934" s="5"/>
      <c r="N934" s="5"/>
      <c r="O934" s="5"/>
      <c r="P934" s="5"/>
      <c r="Q934" s="5"/>
      <c r="R934" s="5"/>
      <c r="S934" s="5"/>
      <c r="T934" s="46"/>
      <c r="U934" s="1379" t="s">
        <v>590</v>
      </c>
      <c r="V934" s="1380"/>
      <c r="W934" s="1380"/>
      <c r="X934" s="1380"/>
      <c r="Y934" s="1380"/>
      <c r="Z934" s="1381"/>
      <c r="AA934" s="1556"/>
      <c r="AB934" s="1557"/>
      <c r="AC934" s="1557"/>
      <c r="AD934" s="1557"/>
      <c r="AE934" s="1557"/>
      <c r="AF934" s="1558"/>
      <c r="AZ934" s="30"/>
      <c r="BA934" s="14"/>
    </row>
    <row r="935" spans="6:55" ht="12.95" customHeight="1">
      <c r="F935" s="66" t="s">
        <v>801</v>
      </c>
      <c r="G935" s="5"/>
      <c r="H935" s="5"/>
      <c r="I935" s="5"/>
      <c r="J935" s="5"/>
      <c r="K935" s="5"/>
      <c r="L935" s="5"/>
      <c r="M935" s="5"/>
      <c r="N935" s="5"/>
      <c r="O935" s="5"/>
      <c r="P935" s="5"/>
      <c r="Q935" s="5"/>
      <c r="R935" s="5"/>
      <c r="S935" s="5"/>
      <c r="T935" s="46"/>
      <c r="U935" s="1379" t="s">
        <v>590</v>
      </c>
      <c r="V935" s="1380"/>
      <c r="W935" s="1380"/>
      <c r="X935" s="1380"/>
      <c r="Y935" s="1380"/>
      <c r="Z935" s="1381"/>
      <c r="AA935" s="1556"/>
      <c r="AB935" s="1557"/>
      <c r="AC935" s="1557"/>
      <c r="AD935" s="1557"/>
      <c r="AE935" s="1557"/>
      <c r="AF935" s="1558"/>
      <c r="AZ935" s="30"/>
      <c r="BA935" s="14"/>
    </row>
    <row r="936" spans="6:55" ht="12.95" customHeight="1">
      <c r="F936" s="1659" t="s">
        <v>2200</v>
      </c>
      <c r="G936" s="1660"/>
      <c r="H936" s="1660"/>
      <c r="I936" s="1660"/>
      <c r="J936" s="1660"/>
      <c r="K936" s="1660"/>
      <c r="L936" s="1660"/>
      <c r="M936" s="1660"/>
      <c r="N936" s="1660"/>
      <c r="O936" s="1660"/>
      <c r="P936" s="1660"/>
      <c r="Q936" s="1660"/>
      <c r="R936" s="1660"/>
      <c r="S936" s="1660"/>
      <c r="T936" s="1661"/>
      <c r="U936" s="1379" t="s">
        <v>590</v>
      </c>
      <c r="V936" s="1380"/>
      <c r="W936" s="1380"/>
      <c r="X936" s="1380"/>
      <c r="Y936" s="1380"/>
      <c r="Z936" s="1381"/>
      <c r="AA936" s="1556"/>
      <c r="AB936" s="1557"/>
      <c r="AC936" s="1557"/>
      <c r="AD936" s="1557"/>
      <c r="AE936" s="1557"/>
      <c r="AF936" s="1558"/>
      <c r="AZ936" s="30"/>
      <c r="BA936" s="14"/>
    </row>
    <row r="937" spans="6:55" ht="12.95" customHeight="1">
      <c r="F937" s="1659" t="s">
        <v>2201</v>
      </c>
      <c r="G937" s="1660"/>
      <c r="H937" s="1660"/>
      <c r="I937" s="1660"/>
      <c r="J937" s="1660"/>
      <c r="K937" s="1660"/>
      <c r="L937" s="1660"/>
      <c r="M937" s="1660"/>
      <c r="N937" s="1660"/>
      <c r="O937" s="1660"/>
      <c r="P937" s="1660"/>
      <c r="Q937" s="1660"/>
      <c r="R937" s="1660"/>
      <c r="S937" s="1660"/>
      <c r="T937" s="1661"/>
      <c r="U937" s="1379" t="s">
        <v>590</v>
      </c>
      <c r="V937" s="1380"/>
      <c r="W937" s="1380"/>
      <c r="X937" s="1380"/>
      <c r="Y937" s="1380"/>
      <c r="Z937" s="1381"/>
      <c r="AA937" s="1556"/>
      <c r="AB937" s="1557"/>
      <c r="AC937" s="1557"/>
      <c r="AD937" s="1557"/>
      <c r="AE937" s="1557"/>
      <c r="AF937" s="1558"/>
      <c r="AZ937" s="30"/>
      <c r="BA937" s="30"/>
    </row>
    <row r="938" spans="6:55" ht="12.95" customHeight="1">
      <c r="F938" s="1599" t="s">
        <v>2197</v>
      </c>
      <c r="G938" s="1600"/>
      <c r="H938" s="1600"/>
      <c r="I938" s="1600"/>
      <c r="J938" s="1600"/>
      <c r="K938" s="1600"/>
      <c r="L938" s="1600"/>
      <c r="M938" s="1600"/>
      <c r="N938" s="1600"/>
      <c r="O938" s="1600"/>
      <c r="P938" s="1600"/>
      <c r="Q938" s="1600"/>
      <c r="R938" s="1600"/>
      <c r="S938" s="1600"/>
      <c r="T938" s="1601"/>
      <c r="U938" s="1379" t="s">
        <v>590</v>
      </c>
      <c r="V938" s="1380"/>
      <c r="W938" s="1380"/>
      <c r="X938" s="1380"/>
      <c r="Y938" s="1380"/>
      <c r="Z938" s="1381"/>
      <c r="AA938" s="1556"/>
      <c r="AB938" s="1557"/>
      <c r="AC938" s="1557"/>
      <c r="AD938" s="1557"/>
      <c r="AE938" s="1557"/>
      <c r="AF938" s="1558"/>
      <c r="AZ938" s="30"/>
      <c r="BA938" s="30"/>
    </row>
    <row r="939" spans="6:55" ht="12.95" customHeight="1">
      <c r="F939" s="1599" t="s">
        <v>2198</v>
      </c>
      <c r="G939" s="1600"/>
      <c r="H939" s="1600"/>
      <c r="I939" s="1600"/>
      <c r="J939" s="1600"/>
      <c r="K939" s="1600"/>
      <c r="L939" s="1600"/>
      <c r="M939" s="1600"/>
      <c r="N939" s="1600"/>
      <c r="O939" s="1600"/>
      <c r="P939" s="1600"/>
      <c r="Q939" s="1600"/>
      <c r="R939" s="1600"/>
      <c r="S939" s="1600"/>
      <c r="T939" s="1601"/>
      <c r="U939" s="1379" t="s">
        <v>590</v>
      </c>
      <c r="V939" s="1380"/>
      <c r="W939" s="1380"/>
      <c r="X939" s="1380"/>
      <c r="Y939" s="1380"/>
      <c r="Z939" s="1381"/>
      <c r="AA939" s="1556"/>
      <c r="AB939" s="1557"/>
      <c r="AC939" s="1557"/>
      <c r="AD939" s="1557"/>
      <c r="AE939" s="1557"/>
      <c r="AF939" s="1558"/>
      <c r="AZ939" s="30"/>
      <c r="BA939" s="30"/>
    </row>
    <row r="940" spans="6:55" ht="12.95" customHeight="1">
      <c r="F940" s="1599" t="s">
        <v>2199</v>
      </c>
      <c r="G940" s="1600"/>
      <c r="H940" s="1600"/>
      <c r="I940" s="1600"/>
      <c r="J940" s="1600"/>
      <c r="K940" s="1600"/>
      <c r="L940" s="1600"/>
      <c r="M940" s="1600"/>
      <c r="N940" s="1600"/>
      <c r="O940" s="1600"/>
      <c r="P940" s="1600"/>
      <c r="Q940" s="1600"/>
      <c r="R940" s="1600"/>
      <c r="S940" s="1600"/>
      <c r="T940" s="1601"/>
      <c r="U940" s="1379" t="s">
        <v>590</v>
      </c>
      <c r="V940" s="1380"/>
      <c r="W940" s="1380"/>
      <c r="X940" s="1380"/>
      <c r="Y940" s="1380"/>
      <c r="Z940" s="1381"/>
      <c r="AA940" s="1556"/>
      <c r="AB940" s="1557"/>
      <c r="AC940" s="1557"/>
      <c r="AD940" s="1557"/>
      <c r="AE940" s="1557"/>
      <c r="AF940" s="1558"/>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379" t="s">
        <v>590</v>
      </c>
      <c r="V941" s="1380"/>
      <c r="W941" s="1380"/>
      <c r="X941" s="1380"/>
      <c r="Y941" s="1380"/>
      <c r="Z941" s="1381"/>
      <c r="AA941" s="1556"/>
      <c r="AB941" s="1557"/>
      <c r="AC941" s="1557"/>
      <c r="AD941" s="1557"/>
      <c r="AE941" s="1557"/>
      <c r="AF941" s="1558"/>
      <c r="AZ941" s="34"/>
      <c r="BA941" s="34"/>
      <c r="BB941" s="14"/>
      <c r="BC941" s="14"/>
    </row>
    <row r="942" spans="6:55" ht="12.95" customHeight="1">
      <c r="F942" s="1659" t="s">
        <v>2202</v>
      </c>
      <c r="G942" s="1660"/>
      <c r="H942" s="1660"/>
      <c r="I942" s="1660"/>
      <c r="J942" s="1660"/>
      <c r="K942" s="1660"/>
      <c r="L942" s="1660"/>
      <c r="M942" s="1660"/>
      <c r="N942" s="1660"/>
      <c r="O942" s="1660"/>
      <c r="P942" s="1660"/>
      <c r="Q942" s="1660"/>
      <c r="R942" s="1660"/>
      <c r="S942" s="1660"/>
      <c r="T942" s="1661"/>
      <c r="U942" s="1379" t="s">
        <v>590</v>
      </c>
      <c r="V942" s="1380"/>
      <c r="W942" s="1380"/>
      <c r="X942" s="1380"/>
      <c r="Y942" s="1380"/>
      <c r="Z942" s="1381"/>
      <c r="AA942" s="1556"/>
      <c r="AB942" s="1557"/>
      <c r="AC942" s="1557"/>
      <c r="AD942" s="1557"/>
      <c r="AE942" s="1557"/>
      <c r="AF942" s="1558"/>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379" t="s">
        <v>590</v>
      </c>
      <c r="V943" s="1380"/>
      <c r="W943" s="1380"/>
      <c r="X943" s="1380"/>
      <c r="Y943" s="1380"/>
      <c r="Z943" s="1381"/>
      <c r="AA943" s="1556"/>
      <c r="AB943" s="1557"/>
      <c r="AC943" s="1557"/>
      <c r="AD943" s="1557"/>
      <c r="AE943" s="1557"/>
      <c r="AF943" s="1558"/>
      <c r="AZ943" s="34"/>
      <c r="BA943" s="34"/>
      <c r="BB943" s="34"/>
      <c r="BC943" s="34"/>
    </row>
    <row r="944" spans="6:55" ht="12.95" customHeight="1">
      <c r="F944" s="1659" t="s">
        <v>2203</v>
      </c>
      <c r="G944" s="1660"/>
      <c r="H944" s="1660"/>
      <c r="I944" s="1660"/>
      <c r="J944" s="1660"/>
      <c r="K944" s="1660"/>
      <c r="L944" s="1660"/>
      <c r="M944" s="1660"/>
      <c r="N944" s="1660"/>
      <c r="O944" s="1660"/>
      <c r="P944" s="1660"/>
      <c r="Q944" s="1660"/>
      <c r="R944" s="1660"/>
      <c r="S944" s="1660"/>
      <c r="T944" s="1661"/>
      <c r="U944" s="1379" t="s">
        <v>590</v>
      </c>
      <c r="V944" s="1380"/>
      <c r="W944" s="1380"/>
      <c r="X944" s="1380"/>
      <c r="Y944" s="1380"/>
      <c r="Z944" s="1381"/>
      <c r="AA944" s="1556"/>
      <c r="AB944" s="1557"/>
      <c r="AC944" s="1557"/>
      <c r="AD944" s="1557"/>
      <c r="AE944" s="1557"/>
      <c r="AF944" s="1558"/>
      <c r="AZ944" s="34"/>
      <c r="BA944" s="34"/>
      <c r="BB944" s="34"/>
      <c r="BC944" s="34"/>
    </row>
    <row r="945" spans="1:55" ht="12.95" customHeight="1">
      <c r="F945" s="45" t="s">
        <v>805</v>
      </c>
      <c r="G945" s="5"/>
      <c r="H945" s="5"/>
      <c r="I945" s="5"/>
      <c r="J945" s="5"/>
      <c r="K945" s="5"/>
      <c r="L945" s="5"/>
      <c r="M945" s="5"/>
      <c r="N945" s="5"/>
      <c r="O945" s="5"/>
      <c r="P945" s="1379" t="s">
        <v>668</v>
      </c>
      <c r="Q945" s="1380"/>
      <c r="R945" s="1380"/>
      <c r="S945" s="1380"/>
      <c r="T945" s="1381"/>
      <c r="U945" s="1379" t="s">
        <v>590</v>
      </c>
      <c r="V945" s="1380"/>
      <c r="W945" s="1380"/>
      <c r="X945" s="1380"/>
      <c r="Y945" s="1380"/>
      <c r="Z945" s="1381"/>
      <c r="AA945" s="1556"/>
      <c r="AB945" s="1557"/>
      <c r="AC945" s="1557"/>
      <c r="AD945" s="1557"/>
      <c r="AE945" s="1557"/>
      <c r="AF945" s="1558"/>
      <c r="AZ945" s="34"/>
      <c r="BA945" s="34"/>
      <c r="BB945" s="34"/>
      <c r="BC945" s="34"/>
    </row>
    <row r="946" spans="1:55" ht="12.95" customHeight="1">
      <c r="F946" s="1599" t="s">
        <v>2190</v>
      </c>
      <c r="G946" s="1600"/>
      <c r="H946" s="1601"/>
      <c r="I946" s="1593" t="s">
        <v>333</v>
      </c>
      <c r="J946" s="1594"/>
      <c r="K946" s="1594"/>
      <c r="L946" s="1594"/>
      <c r="M946" s="1594"/>
      <c r="N946" s="1594"/>
      <c r="O946" s="1594"/>
      <c r="P946" s="1594"/>
      <c r="Q946" s="1594"/>
      <c r="R946" s="1594"/>
      <c r="S946" s="1594"/>
      <c r="T946" s="1595"/>
      <c r="U946" s="1379" t="s">
        <v>590</v>
      </c>
      <c r="V946" s="1380"/>
      <c r="W946" s="1380"/>
      <c r="X946" s="1380"/>
      <c r="Y946" s="1380"/>
      <c r="Z946" s="1381"/>
      <c r="AA946" s="1556"/>
      <c r="AB946" s="1557"/>
      <c r="AC946" s="1557"/>
      <c r="AD946" s="1557"/>
      <c r="AE946" s="1557"/>
      <c r="AF946" s="1558"/>
      <c r="AZ946" s="34"/>
      <c r="BA946" s="34"/>
      <c r="BB946" s="34"/>
      <c r="BC946" s="34"/>
    </row>
    <row r="947" spans="1:55" ht="12.95" customHeight="1">
      <c r="F947" s="45" t="s">
        <v>86</v>
      </c>
      <c r="G947" s="48"/>
      <c r="H947" s="48"/>
      <c r="I947" s="1593" t="s">
        <v>333</v>
      </c>
      <c r="J947" s="1594"/>
      <c r="K947" s="1594"/>
      <c r="L947" s="1594"/>
      <c r="M947" s="1594"/>
      <c r="N947" s="1594"/>
      <c r="O947" s="1594"/>
      <c r="P947" s="1594"/>
      <c r="Q947" s="1594"/>
      <c r="R947" s="1594"/>
      <c r="S947" s="1594"/>
      <c r="T947" s="1595"/>
      <c r="U947" s="1379" t="s">
        <v>590</v>
      </c>
      <c r="V947" s="1380"/>
      <c r="W947" s="1380"/>
      <c r="X947" s="1380"/>
      <c r="Y947" s="1380"/>
      <c r="Z947" s="1381"/>
      <c r="AA947" s="1556"/>
      <c r="AB947" s="1557"/>
      <c r="AC947" s="1557"/>
      <c r="AD947" s="1557"/>
      <c r="AE947" s="1557"/>
      <c r="AF947" s="1558"/>
      <c r="AZ947" s="34"/>
      <c r="BA947" s="34"/>
      <c r="BB947" s="34"/>
      <c r="BC947" s="34"/>
    </row>
    <row r="948" spans="1:55" ht="12.95" customHeight="1">
      <c r="F948" s="45" t="s">
        <v>10</v>
      </c>
      <c r="G948" s="48"/>
      <c r="H948" s="48"/>
      <c r="I948" s="1518" t="s">
        <v>333</v>
      </c>
      <c r="J948" s="1519"/>
      <c r="K948" s="1519"/>
      <c r="L948" s="1519"/>
      <c r="M948" s="1519"/>
      <c r="N948" s="1519"/>
      <c r="O948" s="1519"/>
      <c r="P948" s="1519"/>
      <c r="Q948" s="1519"/>
      <c r="R948" s="1519"/>
      <c r="S948" s="1519"/>
      <c r="T948" s="1520"/>
      <c r="U948" s="1379" t="s">
        <v>590</v>
      </c>
      <c r="V948" s="1380"/>
      <c r="W948" s="1380"/>
      <c r="X948" s="1380"/>
      <c r="Y948" s="1380"/>
      <c r="Z948" s="1381"/>
      <c r="AA948" s="1556"/>
      <c r="AB948" s="1557"/>
      <c r="AC948" s="1557"/>
      <c r="AD948" s="1557"/>
      <c r="AE948" s="1557"/>
      <c r="AF948" s="1558"/>
      <c r="AV948" s="2"/>
      <c r="AW948" s="2"/>
      <c r="AX948" s="2"/>
      <c r="AY948" s="2"/>
      <c r="AZ948" s="34"/>
      <c r="BA948" s="34"/>
      <c r="BB948" s="34"/>
      <c r="BC948" s="34"/>
    </row>
    <row r="949" spans="1:55" ht="12.95" customHeight="1">
      <c r="F949" s="47" t="s">
        <v>169</v>
      </c>
      <c r="G949" s="48"/>
      <c r="H949" s="48"/>
      <c r="I949" s="1518" t="s">
        <v>333</v>
      </c>
      <c r="J949" s="1519"/>
      <c r="K949" s="1519"/>
      <c r="L949" s="1519"/>
      <c r="M949" s="1519"/>
      <c r="N949" s="1519"/>
      <c r="O949" s="1519"/>
      <c r="P949" s="1519"/>
      <c r="Q949" s="1519"/>
      <c r="R949" s="1519"/>
      <c r="S949" s="1519"/>
      <c r="T949" s="1520"/>
      <c r="U949" s="1379" t="s">
        <v>590</v>
      </c>
      <c r="V949" s="1380"/>
      <c r="W949" s="1380"/>
      <c r="X949" s="1380"/>
      <c r="Y949" s="1380"/>
      <c r="Z949" s="1381"/>
      <c r="AA949" s="1556"/>
      <c r="AB949" s="1557"/>
      <c r="AC949" s="1557"/>
      <c r="AD949" s="1557"/>
      <c r="AE949" s="1557"/>
      <c r="AF949" s="1558"/>
      <c r="AU949" s="2"/>
      <c r="AZ949" s="34"/>
      <c r="BA949" s="34"/>
      <c r="BB949" s="34"/>
      <c r="BC949" s="34"/>
    </row>
    <row r="950" spans="1:55" ht="12.95" customHeight="1">
      <c r="F950" s="47" t="s">
        <v>169</v>
      </c>
      <c r="G950" s="48"/>
      <c r="H950" s="48"/>
      <c r="I950" s="1518" t="s">
        <v>333</v>
      </c>
      <c r="J950" s="1519"/>
      <c r="K950" s="1519"/>
      <c r="L950" s="1519"/>
      <c r="M950" s="1519"/>
      <c r="N950" s="1519"/>
      <c r="O950" s="1519"/>
      <c r="P950" s="1519"/>
      <c r="Q950" s="1519"/>
      <c r="R950" s="1519"/>
      <c r="S950" s="1519"/>
      <c r="T950" s="1520"/>
      <c r="U950" s="1379" t="s">
        <v>590</v>
      </c>
      <c r="V950" s="1380"/>
      <c r="W950" s="1380"/>
      <c r="X950" s="1380"/>
      <c r="Y950" s="1380"/>
      <c r="Z950" s="1381"/>
      <c r="AA950" s="1556"/>
      <c r="AB950" s="1557"/>
      <c r="AC950" s="1557"/>
      <c r="AD950" s="1557"/>
      <c r="AE950" s="1557"/>
      <c r="AF950" s="1558"/>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15"/>
      <c r="N955" s="1516"/>
      <c r="O955" s="1516"/>
      <c r="P955" s="1516"/>
      <c r="Q955" s="1516"/>
      <c r="R955" s="1516"/>
      <c r="S955" s="1517"/>
      <c r="U955" s="66" t="s">
        <v>11</v>
      </c>
      <c r="V955" s="5"/>
      <c r="W955" s="5"/>
      <c r="X955" s="5"/>
      <c r="Y955" s="5"/>
      <c r="Z955" s="5"/>
      <c r="AA955" s="5"/>
      <c r="AB955" s="5"/>
      <c r="AC955" s="5"/>
      <c r="AD955" s="46"/>
      <c r="AE955" s="1515"/>
      <c r="AF955" s="1516"/>
      <c r="AG955" s="1516"/>
      <c r="AH955" s="1516"/>
      <c r="AI955" s="1516"/>
      <c r="AJ955" s="1516"/>
      <c r="AK955" s="1517"/>
      <c r="AZ955" s="34"/>
      <c r="BA955" s="34"/>
      <c r="BB955" s="34"/>
      <c r="BC955" s="34"/>
    </row>
    <row r="956" spans="1:55" ht="12.95" customHeight="1">
      <c r="C956" s="66" t="s">
        <v>12</v>
      </c>
      <c r="D956" s="5"/>
      <c r="E956" s="5"/>
      <c r="F956" s="5"/>
      <c r="G956" s="5"/>
      <c r="H956" s="5"/>
      <c r="I956" s="5"/>
      <c r="J956" s="5"/>
      <c r="K956" s="5"/>
      <c r="L956" s="46"/>
      <c r="M956" s="1527"/>
      <c r="N956" s="1528"/>
      <c r="O956" s="1528"/>
      <c r="P956" s="1528"/>
      <c r="Q956" s="1528"/>
      <c r="R956" s="1528"/>
      <c r="S956" s="1529"/>
      <c r="U956" s="66" t="s">
        <v>12</v>
      </c>
      <c r="V956" s="5"/>
      <c r="W956" s="5"/>
      <c r="X956" s="5"/>
      <c r="Y956" s="5"/>
      <c r="Z956" s="5"/>
      <c r="AA956" s="5"/>
      <c r="AB956" s="5"/>
      <c r="AC956" s="5"/>
      <c r="AD956" s="46"/>
      <c r="AE956" s="1527"/>
      <c r="AF956" s="1528"/>
      <c r="AG956" s="1528"/>
      <c r="AH956" s="1528"/>
      <c r="AI956" s="1528"/>
      <c r="AJ956" s="1528"/>
      <c r="AK956" s="1529"/>
      <c r="AZ956" s="34"/>
      <c r="BA956" s="34"/>
      <c r="BB956" s="34"/>
      <c r="BC956" s="34"/>
    </row>
    <row r="957" spans="1:55" ht="12.95" customHeight="1">
      <c r="C957" s="66" t="s">
        <v>879</v>
      </c>
      <c r="D957" s="5"/>
      <c r="E957" s="5"/>
      <c r="J957" s="1544" t="s">
        <v>306</v>
      </c>
      <c r="K957" s="1545"/>
      <c r="L957" s="1545"/>
      <c r="M957" s="1545"/>
      <c r="N957" s="1545"/>
      <c r="O957" s="1545"/>
      <c r="P957" s="1545"/>
      <c r="Q957" s="1545"/>
      <c r="R957" s="1545"/>
      <c r="S957" s="1546"/>
      <c r="U957" s="66" t="s">
        <v>879</v>
      </c>
      <c r="V957" s="5"/>
      <c r="W957" s="5"/>
      <c r="AB957" s="1544" t="s">
        <v>306</v>
      </c>
      <c r="AC957" s="1545"/>
      <c r="AD957" s="1545"/>
      <c r="AE957" s="1545"/>
      <c r="AF957" s="1545"/>
      <c r="AG957" s="1545"/>
      <c r="AH957" s="1545"/>
      <c r="AI957" s="1545"/>
      <c r="AJ957" s="1545"/>
      <c r="AK957" s="1546"/>
      <c r="AZ957" s="34"/>
      <c r="BA957" s="34"/>
      <c r="BB957" s="34"/>
      <c r="BC957" s="34"/>
    </row>
    <row r="958" spans="1:55" ht="12.95" customHeight="1">
      <c r="C958" s="66" t="s">
        <v>13</v>
      </c>
      <c r="D958" s="5"/>
      <c r="E958" s="5"/>
      <c r="F958" s="5"/>
      <c r="G958" s="5"/>
      <c r="H958" s="5"/>
      <c r="I958" s="5"/>
      <c r="J958" s="5"/>
      <c r="K958" s="5"/>
      <c r="L958" s="46"/>
      <c r="M958" s="1559"/>
      <c r="N958" s="1560"/>
      <c r="O958" s="1560"/>
      <c r="P958" s="1560"/>
      <c r="Q958" s="1560"/>
      <c r="R958" s="1560"/>
      <c r="S958" s="1561"/>
      <c r="U958" s="66" t="s">
        <v>13</v>
      </c>
      <c r="V958" s="5"/>
      <c r="W958" s="5"/>
      <c r="X958" s="5"/>
      <c r="Y958" s="5"/>
      <c r="Z958" s="5"/>
      <c r="AA958" s="5"/>
      <c r="AB958" s="5"/>
      <c r="AC958" s="5"/>
      <c r="AD958" s="46"/>
      <c r="AE958" s="1596"/>
      <c r="AF958" s="1560"/>
      <c r="AG958" s="1560"/>
      <c r="AH958" s="1560"/>
      <c r="AI958" s="1560"/>
      <c r="AJ958" s="1560"/>
      <c r="AK958" s="1561"/>
      <c r="AZ958" s="34"/>
      <c r="BA958" s="34"/>
      <c r="BB958" s="34"/>
      <c r="BC958" s="34"/>
    </row>
    <row r="959" spans="1:55" ht="12.95" customHeight="1">
      <c r="C959" s="66" t="s">
        <v>14</v>
      </c>
      <c r="D959" s="5"/>
      <c r="E959" s="5"/>
      <c r="F959" s="5"/>
      <c r="G959" s="5"/>
      <c r="H959" s="5"/>
      <c r="I959" s="5"/>
      <c r="J959" s="5"/>
      <c r="K959" s="5"/>
      <c r="L959" s="46"/>
      <c r="M959" s="1547"/>
      <c r="N959" s="1548"/>
      <c r="O959" s="1548"/>
      <c r="P959" s="1548"/>
      <c r="Q959" s="1548"/>
      <c r="R959" s="1548"/>
      <c r="S959" s="1549"/>
      <c r="U959" s="66" t="s">
        <v>14</v>
      </c>
      <c r="V959" s="5"/>
      <c r="W959" s="5"/>
      <c r="X959" s="5"/>
      <c r="Y959" s="5"/>
      <c r="Z959" s="5"/>
      <c r="AA959" s="5"/>
      <c r="AB959" s="5"/>
      <c r="AC959" s="5"/>
      <c r="AD959" s="46"/>
      <c r="AE959" s="1547"/>
      <c r="AF959" s="1548"/>
      <c r="AG959" s="1548"/>
      <c r="AH959" s="1548"/>
      <c r="AI959" s="1548"/>
      <c r="AJ959" s="1548"/>
      <c r="AK959" s="1549"/>
      <c r="AV959" s="2"/>
      <c r="AW959" s="2"/>
      <c r="AX959" s="2"/>
      <c r="AY959" s="2"/>
      <c r="AZ959" s="34"/>
      <c r="BA959" s="34"/>
      <c r="BB959" s="34"/>
      <c r="BC959" s="34"/>
    </row>
    <row r="960" spans="1:55" ht="12.95" customHeight="1">
      <c r="C960" s="66" t="s">
        <v>15</v>
      </c>
      <c r="D960" s="5"/>
      <c r="E960" s="5"/>
      <c r="F960" s="5"/>
      <c r="G960" s="5"/>
      <c r="H960" s="5"/>
      <c r="I960" s="5"/>
      <c r="J960" s="5"/>
      <c r="K960" s="5"/>
      <c r="L960" s="46"/>
      <c r="M960" s="1556"/>
      <c r="N960" s="1557"/>
      <c r="O960" s="1557"/>
      <c r="P960" s="1557"/>
      <c r="Q960" s="1557"/>
      <c r="R960" s="1557"/>
      <c r="S960" s="1558"/>
      <c r="U960" s="66" t="s">
        <v>15</v>
      </c>
      <c r="V960" s="5"/>
      <c r="W960" s="5"/>
      <c r="X960" s="5"/>
      <c r="Y960" s="5"/>
      <c r="Z960" s="5"/>
      <c r="AA960" s="5"/>
      <c r="AB960" s="5"/>
      <c r="AC960" s="5"/>
      <c r="AD960" s="46"/>
      <c r="AE960" s="1556"/>
      <c r="AF960" s="1557"/>
      <c r="AG960" s="1557"/>
      <c r="AH960" s="1557"/>
      <c r="AI960" s="1557"/>
      <c r="AJ960" s="1557"/>
      <c r="AK960" s="1558"/>
      <c r="AV960" s="2"/>
      <c r="AW960" s="2"/>
      <c r="AX960" s="2"/>
      <c r="AY960" s="2"/>
      <c r="AZ960" s="34"/>
      <c r="BA960" s="34"/>
      <c r="BB960" s="34"/>
      <c r="BC960" s="34"/>
    </row>
    <row r="961" spans="1:64" ht="12.95" customHeight="1">
      <c r="C961" s="66" t="s">
        <v>16</v>
      </c>
      <c r="D961" s="5"/>
      <c r="E961" s="5"/>
      <c r="F961" s="5"/>
      <c r="G961" s="5"/>
      <c r="H961" s="5"/>
      <c r="I961" s="5"/>
      <c r="J961" s="5"/>
      <c r="K961" s="5"/>
      <c r="L961" s="46"/>
      <c r="M961" s="1556"/>
      <c r="N961" s="1557"/>
      <c r="O961" s="1557"/>
      <c r="P961" s="1557"/>
      <c r="Q961" s="1557"/>
      <c r="R961" s="1557"/>
      <c r="S961" s="1558"/>
      <c r="U961" s="66" t="s">
        <v>16</v>
      </c>
      <c r="V961" s="5"/>
      <c r="W961" s="5"/>
      <c r="X961" s="5"/>
      <c r="Y961" s="5"/>
      <c r="Z961" s="5"/>
      <c r="AA961" s="5"/>
      <c r="AB961" s="5"/>
      <c r="AC961" s="5"/>
      <c r="AD961" s="46"/>
      <c r="AE961" s="1556"/>
      <c r="AF961" s="1557"/>
      <c r="AG961" s="1557"/>
      <c r="AH961" s="1557"/>
      <c r="AI961" s="1557"/>
      <c r="AJ961" s="1557"/>
      <c r="AK961" s="1558"/>
      <c r="AV961" s="2"/>
      <c r="AW961" s="2"/>
      <c r="AX961" s="2"/>
      <c r="AY961" s="2"/>
      <c r="AZ961" s="34"/>
      <c r="BB961" s="34"/>
      <c r="BC961" s="34"/>
    </row>
    <row r="962" spans="1:64" ht="12.95" customHeight="1">
      <c r="C962" s="121" t="s">
        <v>1659</v>
      </c>
      <c r="D962" s="5"/>
      <c r="E962" s="5"/>
      <c r="F962" s="5"/>
      <c r="G962" s="5"/>
      <c r="H962" s="5"/>
      <c r="I962" s="5"/>
      <c r="J962" s="5"/>
      <c r="K962" s="5"/>
      <c r="L962" s="46"/>
      <c r="M962" s="1553"/>
      <c r="N962" s="1554"/>
      <c r="O962" s="1554"/>
      <c r="P962" s="1554"/>
      <c r="Q962" s="1554"/>
      <c r="R962" s="1554"/>
      <c r="S962" s="1555"/>
      <c r="U962" s="121" t="s">
        <v>1659</v>
      </c>
      <c r="V962" s="5"/>
      <c r="W962" s="5"/>
      <c r="X962" s="5"/>
      <c r="Y962" s="5"/>
      <c r="Z962" s="5"/>
      <c r="AA962" s="5"/>
      <c r="AB962" s="5"/>
      <c r="AC962" s="5"/>
      <c r="AD962" s="46"/>
      <c r="AE962" s="1553"/>
      <c r="AF962" s="1554"/>
      <c r="AG962" s="1554"/>
      <c r="AH962" s="1554"/>
      <c r="AI962" s="1554"/>
      <c r="AJ962" s="1554"/>
      <c r="AK962" s="155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413"/>
      <c r="N967" s="1414"/>
      <c r="O967" s="1414"/>
      <c r="P967" s="1414"/>
      <c r="Q967" s="1414"/>
      <c r="R967" s="1414"/>
      <c r="S967" s="1415"/>
      <c r="T967" s="66" t="s">
        <v>789</v>
      </c>
      <c r="U967" s="5"/>
      <c r="V967" s="5"/>
      <c r="W967" s="5"/>
      <c r="X967" s="5"/>
      <c r="Y967" s="5"/>
      <c r="Z967" s="46"/>
      <c r="AA967" s="1413"/>
      <c r="AB967" s="1414"/>
      <c r="AC967" s="1414"/>
      <c r="AD967" s="1414"/>
      <c r="AE967" s="1414"/>
      <c r="AF967" s="1414"/>
      <c r="AG967" s="141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413"/>
      <c r="N968" s="1414"/>
      <c r="O968" s="1414"/>
      <c r="P968" s="1414"/>
      <c r="Q968" s="1414"/>
      <c r="R968" s="1414"/>
      <c r="S968" s="1415"/>
      <c r="T968" s="66" t="s">
        <v>788</v>
      </c>
      <c r="U968" s="5"/>
      <c r="V968" s="5"/>
      <c r="W968" s="5"/>
      <c r="X968" s="5"/>
      <c r="Y968" s="5"/>
      <c r="Z968" s="46"/>
      <c r="AA968" s="1413"/>
      <c r="AB968" s="1414"/>
      <c r="AC968" s="1414"/>
      <c r="AD968" s="1414"/>
      <c r="AE968" s="1414"/>
      <c r="AF968" s="1414"/>
      <c r="AG968" s="141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05" t="s">
        <v>590</v>
      </c>
      <c r="N969" s="1606"/>
      <c r="O969" s="1606"/>
      <c r="P969" s="1606"/>
      <c r="Q969" s="1606"/>
      <c r="R969" s="1606"/>
      <c r="S969" s="1607"/>
      <c r="T969" s="45" t="s">
        <v>336</v>
      </c>
      <c r="U969" s="5"/>
      <c r="V969" s="5"/>
      <c r="W969" s="5"/>
      <c r="X969" s="5"/>
      <c r="Y969" s="5"/>
      <c r="Z969" s="46"/>
      <c r="AA969" s="1413"/>
      <c r="AB969" s="1414"/>
      <c r="AC969" s="1414"/>
      <c r="AD969" s="1414"/>
      <c r="AE969" s="1414"/>
      <c r="AF969" s="1414"/>
      <c r="AG969" s="141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413"/>
      <c r="N970" s="1414"/>
      <c r="O970" s="1414"/>
      <c r="P970" s="1414"/>
      <c r="Q970" s="1414"/>
      <c r="R970" s="1414"/>
      <c r="S970" s="1415"/>
      <c r="T970" s="45" t="s">
        <v>337</v>
      </c>
      <c r="U970" s="5"/>
      <c r="V970" s="5"/>
      <c r="W970" s="5"/>
      <c r="X970" s="5"/>
      <c r="Y970" s="5"/>
      <c r="Z970" s="46"/>
      <c r="AA970" s="1413"/>
      <c r="AB970" s="1414"/>
      <c r="AC970" s="1414"/>
      <c r="AD970" s="1414"/>
      <c r="AE970" s="1414"/>
      <c r="AF970" s="1414"/>
      <c r="AG970" s="141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413"/>
      <c r="N971" s="1414"/>
      <c r="O971" s="1414"/>
      <c r="P971" s="1414"/>
      <c r="Q971" s="1414"/>
      <c r="R971" s="1414"/>
      <c r="S971" s="1415"/>
      <c r="T971" s="45" t="s">
        <v>375</v>
      </c>
      <c r="U971" s="5"/>
      <c r="V971" s="5"/>
      <c r="W971" s="5"/>
      <c r="X971" s="5"/>
      <c r="Y971" s="5"/>
      <c r="Z971" s="46"/>
      <c r="AA971" s="1413"/>
      <c r="AB971" s="1414"/>
      <c r="AC971" s="1414"/>
      <c r="AD971" s="1414"/>
      <c r="AE971" s="1414"/>
      <c r="AF971" s="1414"/>
      <c r="AG971" s="141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44" t="s">
        <v>306</v>
      </c>
      <c r="N972" s="1545"/>
      <c r="O972" s="1545"/>
      <c r="P972" s="1545"/>
      <c r="Q972" s="1545"/>
      <c r="R972" s="1545"/>
      <c r="S972" s="1546"/>
      <c r="T972" s="1541"/>
      <c r="U972" s="1542"/>
      <c r="V972" s="1542"/>
      <c r="W972" s="1542"/>
      <c r="X972" s="1542"/>
      <c r="Y972" s="1542"/>
      <c r="Z972" s="1543"/>
      <c r="AA972" s="1413"/>
      <c r="AB972" s="1414"/>
      <c r="AC972" s="1414"/>
      <c r="AD972" s="1414"/>
      <c r="AE972" s="1414"/>
      <c r="AF972" s="1414"/>
      <c r="AG972" s="141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413"/>
      <c r="N973" s="1414"/>
      <c r="O973" s="1414"/>
      <c r="P973" s="1414"/>
      <c r="Q973" s="1414"/>
      <c r="R973" s="1414"/>
      <c r="S973" s="1415"/>
      <c r="T973" s="1541"/>
      <c r="U973" s="1542"/>
      <c r="V973" s="1542"/>
      <c r="W973" s="1542"/>
      <c r="X973" s="1542"/>
      <c r="Y973" s="1542"/>
      <c r="Z973" s="1543"/>
      <c r="AA973" s="1413"/>
      <c r="AB973" s="1414"/>
      <c r="AC973" s="1414"/>
      <c r="AD973" s="1414"/>
      <c r="AE973" s="1414"/>
      <c r="AF973" s="1414"/>
      <c r="AG973" s="141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62" t="s">
        <v>668</v>
      </c>
      <c r="P974" s="1563"/>
      <c r="Q974" s="92"/>
      <c r="R974" s="92"/>
      <c r="S974" s="93"/>
      <c r="T974" s="41" t="s">
        <v>169</v>
      </c>
      <c r="U974" s="42"/>
      <c r="V974" s="42"/>
      <c r="W974" s="1550" t="s">
        <v>333</v>
      </c>
      <c r="X974" s="1551"/>
      <c r="Y974" s="1551"/>
      <c r="Z974" s="1551"/>
      <c r="AA974" s="1551"/>
      <c r="AB974" s="1551"/>
      <c r="AC974" s="1551"/>
      <c r="AD974" s="1551"/>
      <c r="AE974" s="1551"/>
      <c r="AF974" s="1551"/>
      <c r="AG974" s="1552"/>
      <c r="AU974" s="68"/>
      <c r="AV974" s="95"/>
      <c r="AW974" s="95"/>
      <c r="AX974" s="95"/>
      <c r="AY974" s="95"/>
      <c r="AZ974" s="34"/>
      <c r="BB974" s="34"/>
      <c r="BC974" s="34"/>
      <c r="BD974" s="34"/>
      <c r="BE974" s="34"/>
      <c r="BF974" s="34"/>
      <c r="BG974" s="34"/>
      <c r="BH974" s="34"/>
      <c r="BI974" s="34"/>
      <c r="BJ974" s="34"/>
      <c r="BK974" s="34"/>
      <c r="BL974" s="34"/>
    </row>
    <row r="975" spans="1:64" ht="12.95" customHeight="1">
      <c r="F975" s="1581" t="s">
        <v>33</v>
      </c>
      <c r="G975" s="1350"/>
      <c r="H975" s="1350"/>
      <c r="I975" s="1350"/>
      <c r="J975" s="1350"/>
      <c r="K975" s="1350"/>
      <c r="L975" s="1350"/>
      <c r="M975" s="1413"/>
      <c r="N975" s="1414"/>
      <c r="O975" s="1414"/>
      <c r="P975" s="1414"/>
      <c r="Q975" s="1414"/>
      <c r="R975" s="1414"/>
      <c r="S975" s="1415"/>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50"/>
      <c r="BH976" s="1650"/>
      <c r="BI976" s="1650"/>
      <c r="BJ976" s="1650"/>
      <c r="BK976" s="1650"/>
      <c r="BL976" s="165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36" t="s">
        <v>547</v>
      </c>
      <c r="B979" s="1436"/>
      <c r="C979" s="1436"/>
      <c r="D979" s="1436"/>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c r="AA979" s="1436"/>
      <c r="AB979" s="1436"/>
      <c r="AC979" s="1436"/>
      <c r="AD979" s="1436"/>
      <c r="AE979" s="1436"/>
      <c r="AF979" s="1436"/>
      <c r="AG979" s="1436"/>
      <c r="AH979" s="1436"/>
      <c r="AI979" s="1436"/>
      <c r="AJ979" s="1436"/>
      <c r="AK979" s="1436"/>
      <c r="AL979" s="1436"/>
      <c r="AM979" s="1436"/>
      <c r="AN979" s="1436"/>
      <c r="AO979" s="1436"/>
      <c r="AP979" s="1436"/>
      <c r="AQ979" s="1436"/>
      <c r="AR979" s="1436"/>
      <c r="AS979" s="1436"/>
      <c r="AT979" s="1436"/>
      <c r="AU979" s="68"/>
      <c r="AV979" s="68"/>
      <c r="AW979" s="68"/>
      <c r="AX979" s="68"/>
      <c r="AY979" s="68"/>
      <c r="AZ979" s="14"/>
      <c r="BA979" s="14"/>
      <c r="BB979" s="912"/>
      <c r="BC979" s="912"/>
    </row>
    <row r="980" spans="1:64" ht="12.95" customHeight="1">
      <c r="A980" s="1436"/>
      <c r="B980" s="1436"/>
      <c r="C980" s="1436"/>
      <c r="D980" s="1436"/>
      <c r="E980" s="1436"/>
      <c r="F980" s="1436"/>
      <c r="G980" s="1436"/>
      <c r="H980" s="1436"/>
      <c r="I980" s="1436"/>
      <c r="J980" s="1436"/>
      <c r="K980" s="1436"/>
      <c r="L980" s="1436"/>
      <c r="M980" s="1436"/>
      <c r="N980" s="1436"/>
      <c r="O980" s="1436"/>
      <c r="P980" s="1436"/>
      <c r="Q980" s="1436"/>
      <c r="R980" s="1436"/>
      <c r="S980" s="1436"/>
      <c r="T980" s="1436"/>
      <c r="U980" s="1436"/>
      <c r="V980" s="1436"/>
      <c r="W980" s="1436"/>
      <c r="X980" s="1436"/>
      <c r="Y980" s="1436"/>
      <c r="Z980" s="1436"/>
      <c r="AA980" s="1436"/>
      <c r="AB980" s="1436"/>
      <c r="AC980" s="1436"/>
      <c r="AD980" s="1436"/>
      <c r="AE980" s="1436"/>
      <c r="AF980" s="1436"/>
      <c r="AG980" s="1436"/>
      <c r="AH980" s="1436"/>
      <c r="AI980" s="1436"/>
      <c r="AJ980" s="1436"/>
      <c r="AK980" s="1436"/>
      <c r="AL980" s="1436"/>
      <c r="AM980" s="1436"/>
      <c r="AN980" s="1436"/>
      <c r="AO980" s="1436"/>
      <c r="AP980" s="1436"/>
      <c r="AQ980" s="1436"/>
      <c r="AR980" s="1436"/>
      <c r="AS980" s="1436"/>
      <c r="AT980" s="1436"/>
      <c r="AU980" s="68"/>
      <c r="AV980" s="68"/>
      <c r="AW980" s="68"/>
      <c r="AX980" s="68"/>
      <c r="AY980" s="68"/>
      <c r="AZ980" s="30"/>
      <c r="BA980" s="14"/>
      <c r="BB980" s="14"/>
      <c r="BC980" s="14"/>
    </row>
    <row r="981" spans="1:64" ht="12.95" customHeight="1">
      <c r="A981" s="1436"/>
      <c r="B981" s="1436"/>
      <c r="C981" s="1436"/>
      <c r="D981" s="1436"/>
      <c r="E981" s="1436"/>
      <c r="F981" s="1436"/>
      <c r="G981" s="1436"/>
      <c r="H981" s="1436"/>
      <c r="I981" s="1436"/>
      <c r="J981" s="1436"/>
      <c r="K981" s="1436"/>
      <c r="L981" s="1436"/>
      <c r="M981" s="1436"/>
      <c r="N981" s="1436"/>
      <c r="O981" s="1436"/>
      <c r="P981" s="1436"/>
      <c r="Q981" s="1436"/>
      <c r="R981" s="1436"/>
      <c r="S981" s="1436"/>
      <c r="T981" s="1436"/>
      <c r="U981" s="1436"/>
      <c r="V981" s="1436"/>
      <c r="W981" s="1436"/>
      <c r="X981" s="1436"/>
      <c r="Y981" s="1436"/>
      <c r="Z981" s="1436"/>
      <c r="AA981" s="1436"/>
      <c r="AB981" s="1436"/>
      <c r="AC981" s="1436"/>
      <c r="AD981" s="1436"/>
      <c r="AE981" s="1436"/>
      <c r="AF981" s="1436"/>
      <c r="AG981" s="1436"/>
      <c r="AH981" s="1436"/>
      <c r="AI981" s="1436"/>
      <c r="AJ981" s="1436"/>
      <c r="AK981" s="1436"/>
      <c r="AL981" s="1436"/>
      <c r="AM981" s="1436"/>
      <c r="AN981" s="1436"/>
      <c r="AO981" s="1436"/>
      <c r="AP981" s="1436"/>
      <c r="AQ981" s="1436"/>
      <c r="AR981" s="1436"/>
      <c r="AS981" s="1436"/>
      <c r="AT981" s="14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388" t="s">
        <v>637</v>
      </c>
      <c r="E985" s="1389"/>
      <c r="F985" s="1389"/>
      <c r="G985" s="1389"/>
      <c r="H985" s="1389"/>
      <c r="I985" s="1389"/>
      <c r="J985" s="1389"/>
      <c r="K985" s="1389"/>
      <c r="L985" s="1389"/>
      <c r="M985" s="1389"/>
      <c r="N985" s="1389"/>
      <c r="O985" s="1389"/>
      <c r="P985" s="1389"/>
      <c r="Q985" s="1390"/>
      <c r="R985" s="1388" t="s">
        <v>638</v>
      </c>
      <c r="S985" s="1389"/>
      <c r="T985" s="1389"/>
      <c r="U985" s="1389"/>
      <c r="V985" s="1389"/>
      <c r="W985" s="1389"/>
      <c r="X985" s="1389"/>
      <c r="Y985" s="1389"/>
      <c r="Z985" s="1389"/>
      <c r="AA985" s="1390"/>
      <c r="AB985" s="1388" t="s">
        <v>639</v>
      </c>
      <c r="AC985" s="1389"/>
      <c r="AD985" s="1389"/>
      <c r="AE985" s="1389"/>
      <c r="AF985" s="1389"/>
      <c r="AG985" s="1389"/>
      <c r="AH985" s="1389"/>
      <c r="AI985" s="1390"/>
      <c r="AJ985" s="1388" t="s">
        <v>640</v>
      </c>
      <c r="AK985" s="1389"/>
      <c r="AL985" s="1389"/>
      <c r="AM985" s="1389"/>
      <c r="AN985" s="1389"/>
      <c r="AO985" s="1389"/>
      <c r="AP985" s="1389"/>
      <c r="AQ985" s="1390"/>
      <c r="AR985" s="68"/>
      <c r="AS985" s="68"/>
      <c r="AT985" s="68"/>
      <c r="AU985" s="68"/>
      <c r="AV985" s="68"/>
      <c r="AW985" s="68"/>
      <c r="AX985" s="68"/>
      <c r="AY985" s="68"/>
      <c r="AZ985" s="30"/>
      <c r="BB985" s="14"/>
      <c r="BC985" s="14"/>
    </row>
    <row r="986" spans="1:64" ht="12.95" customHeight="1">
      <c r="A986" s="14"/>
      <c r="B986" s="73"/>
      <c r="C986" s="929"/>
      <c r="D986" s="1405" t="s">
        <v>632</v>
      </c>
      <c r="E986" s="1406"/>
      <c r="F986" s="1406"/>
      <c r="G986" s="1406"/>
      <c r="H986" s="1406"/>
      <c r="I986" s="1406"/>
      <c r="J986" s="1406"/>
      <c r="K986" s="1406"/>
      <c r="L986" s="1406"/>
      <c r="M986" s="1406"/>
      <c r="N986" s="1406"/>
      <c r="O986" s="1406"/>
      <c r="P986" s="1406"/>
      <c r="Q986" s="1407"/>
      <c r="R986" s="1408">
        <f>IF(ISNA(IF($CU$122="4%",(INDEX($CS$160:$CW$217,MATCH($DG$122,$CR$160:$CR$217,0),MATCH(D986,$CS$159:$CW$159,0))),(INDEX($CZ$160:$DD$217,MATCH($DG$122,$CY$160:$CY$217,0),MATCH(D986,$CZ$159:$DD$159,0))))),0,IF($CU$122="4%",(INDEX($CS$160:$CW$217,MATCH($DG$122,$CR$160:$CR$217,0),MATCH(D986,$CS$159:$CW$159,0))),(INDEX($CZ$160:$DD$217,MATCH($DG$122,$CY$160:$CY$217,0),MATCH(D986,$CZ$159:$DD$159,0)))))</f>
        <v>437727</v>
      </c>
      <c r="S986" s="1408"/>
      <c r="T986" s="1408"/>
      <c r="U986" s="1408"/>
      <c r="V986" s="1408"/>
      <c r="W986" s="1408"/>
      <c r="X986" s="1408"/>
      <c r="Y986" s="1408"/>
      <c r="Z986" s="1408"/>
      <c r="AA986" s="1408"/>
      <c r="AB986" s="1391">
        <f>CP802</f>
        <v>6</v>
      </c>
      <c r="AC986" s="1392"/>
      <c r="AD986" s="1392"/>
      <c r="AE986" s="1392"/>
      <c r="AF986" s="1392"/>
      <c r="AG986" s="1392"/>
      <c r="AH986" s="1392"/>
      <c r="AI986" s="1393"/>
      <c r="AJ986" s="1409">
        <f>IF(ISERROR((R986*AB986)),0,(R986*AB986))</f>
        <v>2626362</v>
      </c>
      <c r="AK986" s="1410"/>
      <c r="AL986" s="1410"/>
      <c r="AM986" s="1410"/>
      <c r="AN986" s="1410"/>
      <c r="AO986" s="1410"/>
      <c r="AP986" s="1410"/>
      <c r="AQ986" s="1411"/>
      <c r="AR986" s="68"/>
      <c r="AS986" s="68"/>
      <c r="AT986" s="68"/>
      <c r="AU986" s="68"/>
      <c r="AV986" s="68"/>
      <c r="AW986" s="68"/>
      <c r="AX986" s="68"/>
      <c r="AY986" s="68"/>
      <c r="AZ986" s="30"/>
      <c r="BB986" s="14"/>
      <c r="BC986" s="14"/>
    </row>
    <row r="987" spans="1:64" ht="12.95" customHeight="1">
      <c r="A987" s="14"/>
      <c r="B987" s="73"/>
      <c r="C987" s="83"/>
      <c r="D987" s="1405" t="s">
        <v>324</v>
      </c>
      <c r="E987" s="1406"/>
      <c r="F987" s="1406"/>
      <c r="G987" s="1406"/>
      <c r="H987" s="1406"/>
      <c r="I987" s="1406"/>
      <c r="J987" s="1406"/>
      <c r="K987" s="1406"/>
      <c r="L987" s="1406"/>
      <c r="M987" s="1406"/>
      <c r="N987" s="1406"/>
      <c r="O987" s="1406"/>
      <c r="P987" s="1406"/>
      <c r="Q987" s="1407"/>
      <c r="R987" s="1408">
        <f>IF(ISNA(IF($CU$122="4%",(INDEX($CS$160:$CW$217,MATCH($DG$122,$CR$160:$CR$217,0),MATCH(D987,$CS$159:$CW$159,0))),(INDEX($CZ$160:$DD$217,MATCH($DG$122,$CY$160:$CY$217,0),MATCH(D987,$CZ$159:$DD$159,0))))),0,IF($CU$122="4%",(INDEX($CS$160:$CW$217,MATCH($DG$122,$CR$160:$CR$217,0),MATCH(D987,$CS$159:$CW$159,0))),(INDEX($CZ$160:$DD$217,MATCH($DG$122,$CY$160:$CY$217,0),MATCH(D987,$CZ$159:$DD$159,0)))))</f>
        <v>504695</v>
      </c>
      <c r="S987" s="1408"/>
      <c r="T987" s="1408"/>
      <c r="U987" s="1408"/>
      <c r="V987" s="1408"/>
      <c r="W987" s="1408"/>
      <c r="X987" s="1408"/>
      <c r="Y987" s="1408"/>
      <c r="Z987" s="1408"/>
      <c r="AA987" s="1408"/>
      <c r="AB987" s="1391">
        <f>CU802</f>
        <v>18</v>
      </c>
      <c r="AC987" s="1392"/>
      <c r="AD987" s="1392"/>
      <c r="AE987" s="1392"/>
      <c r="AF987" s="1392"/>
      <c r="AG987" s="1392"/>
      <c r="AH987" s="1392"/>
      <c r="AI987" s="1393"/>
      <c r="AJ987" s="1409">
        <f>IF(ISERROR((R987*AB987)),0,(R987*AB987))</f>
        <v>9084510</v>
      </c>
      <c r="AK987" s="1410"/>
      <c r="AL987" s="1410"/>
      <c r="AM987" s="1410"/>
      <c r="AN987" s="1410"/>
      <c r="AO987" s="1410"/>
      <c r="AP987" s="1410"/>
      <c r="AQ987" s="1411"/>
      <c r="AR987" s="68"/>
      <c r="AS987" s="68"/>
      <c r="AT987" s="68"/>
      <c r="AU987" s="68"/>
      <c r="AV987" s="68"/>
      <c r="AW987" s="68"/>
      <c r="AX987" s="68"/>
      <c r="AY987" s="68"/>
      <c r="AZ987" s="30"/>
      <c r="BB987" s="14"/>
      <c r="BC987" s="14"/>
    </row>
    <row r="988" spans="1:64" ht="12.95" customHeight="1">
      <c r="A988" s="14"/>
      <c r="B988" s="73"/>
      <c r="C988" s="83"/>
      <c r="D988" s="1405" t="s">
        <v>163</v>
      </c>
      <c r="E988" s="1406"/>
      <c r="F988" s="1406"/>
      <c r="G988" s="1406"/>
      <c r="H988" s="1406"/>
      <c r="I988" s="1406"/>
      <c r="J988" s="1406"/>
      <c r="K988" s="1406"/>
      <c r="L988" s="1406"/>
      <c r="M988" s="1406"/>
      <c r="N988" s="1406"/>
      <c r="O988" s="1406"/>
      <c r="P988" s="1406"/>
      <c r="Q988" s="1407"/>
      <c r="R988" s="1408">
        <f>IF(ISNA(IF($CU$122="4%",(INDEX($CS$160:$CW$217,MATCH($DG$122,$CR$160:$CR$217,0),MATCH(D988,$CS$159:$CW$159,0))),(INDEX($CZ$160:$DD$217,MATCH($DG$122,$CY$160:$CY$217,0),MATCH(D988,$CZ$159:$DD$159,0))))),0,IF($CU$122="4%",(INDEX($CS$160:$CW$217,MATCH($DG$122,$CR$160:$CR$217,0),MATCH(D988,$CS$159:$CW$159,0))),(INDEX($CZ$160:$DD$217,MATCH($DG$122,$CY$160:$CY$217,0),MATCH(D988,$CZ$159:$DD$159,0)))))</f>
        <v>608800</v>
      </c>
      <c r="S988" s="1408"/>
      <c r="T988" s="1408"/>
      <c r="U988" s="1408"/>
      <c r="V988" s="1408"/>
      <c r="W988" s="1408"/>
      <c r="X988" s="1408"/>
      <c r="Y988" s="1408"/>
      <c r="Z988" s="1408"/>
      <c r="AA988" s="1408"/>
      <c r="AB988" s="1391">
        <f>CZ802</f>
        <v>67</v>
      </c>
      <c r="AC988" s="1392"/>
      <c r="AD988" s="1392"/>
      <c r="AE988" s="1392"/>
      <c r="AF988" s="1392"/>
      <c r="AG988" s="1392"/>
      <c r="AH988" s="1392"/>
      <c r="AI988" s="1393"/>
      <c r="AJ988" s="1409">
        <f>IF(ISERROR((R988*AB988)),0,(R988*AB988))</f>
        <v>40789600</v>
      </c>
      <c r="AK988" s="1410"/>
      <c r="AL988" s="1410"/>
      <c r="AM988" s="1410"/>
      <c r="AN988" s="1410"/>
      <c r="AO988" s="1410"/>
      <c r="AP988" s="1410"/>
      <c r="AQ988" s="1411"/>
      <c r="AR988" s="68"/>
      <c r="AS988" s="68"/>
      <c r="AT988" s="68"/>
      <c r="AU988" s="68"/>
      <c r="AV988" s="68"/>
      <c r="AW988" s="68"/>
      <c r="AX988" s="68"/>
      <c r="AY988" s="68"/>
      <c r="AZ988" s="30"/>
      <c r="BB988" s="14"/>
      <c r="BC988" s="14"/>
    </row>
    <row r="989" spans="1:64" ht="12.95" customHeight="1">
      <c r="A989" s="14"/>
      <c r="B989" s="73"/>
      <c r="C989" s="83"/>
      <c r="D989" s="1405" t="s">
        <v>164</v>
      </c>
      <c r="E989" s="1406"/>
      <c r="F989" s="1406"/>
      <c r="G989" s="1406"/>
      <c r="H989" s="1406"/>
      <c r="I989" s="1406"/>
      <c r="J989" s="1406"/>
      <c r="K989" s="1406"/>
      <c r="L989" s="1406"/>
      <c r="M989" s="1406"/>
      <c r="N989" s="1406"/>
      <c r="O989" s="1406"/>
      <c r="P989" s="1406"/>
      <c r="Q989" s="1407"/>
      <c r="R989" s="1408">
        <f>IF(ISNA(IF($CU$122="4%",(INDEX($CS$160:$CW$217,MATCH($DG$122,$CR$160:$CR$217,0),MATCH(D989,$CS$159:$CW$159,0))),(INDEX($CZ$160:$DD$217,MATCH($DG$122,$CY$160:$CY$217,0),MATCH(D989,$CZ$159:$DD$159,0))))),0,IF($CU$122="4%",(INDEX($CS$160:$CW$217,MATCH($DG$122,$CR$160:$CR$217,0),MATCH(D989,$CS$159:$CW$159,0))),(INDEX($CZ$160:$DD$217,MATCH($DG$122,$CY$160:$CY$217,0),MATCH(D989,$CZ$159:$DD$159,0)))))</f>
        <v>779264</v>
      </c>
      <c r="S989" s="1408"/>
      <c r="T989" s="1408"/>
      <c r="U989" s="1408"/>
      <c r="V989" s="1408"/>
      <c r="W989" s="1408"/>
      <c r="X989" s="1408"/>
      <c r="Y989" s="1408"/>
      <c r="Z989" s="1408"/>
      <c r="AA989" s="1408"/>
      <c r="AB989" s="1391">
        <f>DE802</f>
        <v>37</v>
      </c>
      <c r="AC989" s="1392"/>
      <c r="AD989" s="1392"/>
      <c r="AE989" s="1392"/>
      <c r="AF989" s="1392"/>
      <c r="AG989" s="1392"/>
      <c r="AH989" s="1392"/>
      <c r="AI989" s="1393"/>
      <c r="AJ989" s="1409">
        <f>IF(ISERROR((R989*AB989)),0,(R989*AB989))</f>
        <v>28832768</v>
      </c>
      <c r="AK989" s="1410"/>
      <c r="AL989" s="1410"/>
      <c r="AM989" s="1410"/>
      <c r="AN989" s="1410"/>
      <c r="AO989" s="1410"/>
      <c r="AP989" s="1410"/>
      <c r="AQ989" s="1411"/>
      <c r="AR989" s="68"/>
      <c r="AS989" s="68"/>
      <c r="AT989" s="68"/>
      <c r="AU989" s="68"/>
      <c r="AV989" s="68"/>
      <c r="AW989" s="68"/>
      <c r="AX989" s="68"/>
      <c r="AY989" s="68"/>
      <c r="AZ989" s="30"/>
      <c r="BA989" s="34"/>
      <c r="BB989" s="14"/>
      <c r="BC989" s="14"/>
    </row>
    <row r="990" spans="1:64" ht="12.95" customHeight="1">
      <c r="A990" s="14"/>
      <c r="B990" s="47"/>
      <c r="C990" s="78"/>
      <c r="D990" s="1405" t="s">
        <v>459</v>
      </c>
      <c r="E990" s="1406"/>
      <c r="F990" s="1406"/>
      <c r="G990" s="1406"/>
      <c r="H990" s="1406"/>
      <c r="I990" s="1406"/>
      <c r="J990" s="1406"/>
      <c r="K990" s="1406"/>
      <c r="L990" s="1406"/>
      <c r="M990" s="1406"/>
      <c r="N990" s="1406"/>
      <c r="O990" s="1406"/>
      <c r="P990" s="1406"/>
      <c r="Q990" s="1407"/>
      <c r="R990" s="1408">
        <f>IF(ISNA(IF($CU$122="4%",(INDEX($CS$160:$CW$217,MATCH($DG$122,$CR$160:$CR$217,0),MATCH(D990,$CS$159:$CW$159,0))),(INDEX($CZ$160:$DD$217,MATCH($DG$122,$CY$160:$CY$217,0),MATCH(D990,$CZ$159:$DD$159,0))))),0,IF($CU$122="4%",(INDEX($CS$160:$CW$217,MATCH($DG$122,$CR$160:$CR$217,0),MATCH(D990,$CS$159:$CW$159,0))),(INDEX($CZ$160:$DD$217,MATCH($DG$122,$CY$160:$CY$217,0),MATCH(D990,$CZ$159:$DD$159,0)))))</f>
        <v>868149</v>
      </c>
      <c r="S990" s="1408"/>
      <c r="T990" s="1408"/>
      <c r="U990" s="1408"/>
      <c r="V990" s="1408"/>
      <c r="W990" s="1408"/>
      <c r="X990" s="1408"/>
      <c r="Y990" s="1408"/>
      <c r="Z990" s="1408"/>
      <c r="AA990" s="1408"/>
      <c r="AB990" s="1391">
        <f>DO802+DJ802</f>
        <v>0</v>
      </c>
      <c r="AC990" s="1392"/>
      <c r="AD990" s="1392"/>
      <c r="AE990" s="1392"/>
      <c r="AF990" s="1392"/>
      <c r="AG990" s="1392"/>
      <c r="AH990" s="1392"/>
      <c r="AI990" s="1393"/>
      <c r="AJ990" s="1409">
        <f>IF(ISERROR((R990*AB990)),0,(R990*AB990))</f>
        <v>0</v>
      </c>
      <c r="AK990" s="1410"/>
      <c r="AL990" s="1410"/>
      <c r="AM990" s="1410"/>
      <c r="AN990" s="1410"/>
      <c r="AO990" s="1410"/>
      <c r="AP990" s="1410"/>
      <c r="AQ990" s="1411"/>
      <c r="AR990" s="68"/>
      <c r="AS990" s="68"/>
      <c r="AT990" s="68"/>
      <c r="AU990" s="68"/>
      <c r="AV990" s="68"/>
      <c r="AW990" s="68"/>
      <c r="AX990" s="68"/>
      <c r="AY990" s="68"/>
      <c r="AZ990" s="30"/>
      <c r="BB990" s="14"/>
      <c r="BC990" s="14"/>
    </row>
    <row r="991" spans="1:64" ht="12.95" customHeight="1">
      <c r="A991" s="14"/>
      <c r="B991" s="1602" t="s">
        <v>790</v>
      </c>
      <c r="C991" s="1603"/>
      <c r="D991" s="1603"/>
      <c r="E991" s="1603"/>
      <c r="F991" s="1603"/>
      <c r="G991" s="1603"/>
      <c r="H991" s="1603"/>
      <c r="I991" s="1603"/>
      <c r="J991" s="1603"/>
      <c r="K991" s="1603"/>
      <c r="L991" s="1603"/>
      <c r="M991" s="1603"/>
      <c r="N991" s="1603"/>
      <c r="O991" s="1603"/>
      <c r="P991" s="1603"/>
      <c r="Q991" s="1603"/>
      <c r="R991" s="1603"/>
      <c r="S991" s="1603"/>
      <c r="T991" s="1603"/>
      <c r="U991" s="1603"/>
      <c r="V991" s="1603"/>
      <c r="W991" s="1603"/>
      <c r="X991" s="1603"/>
      <c r="Y991" s="1603"/>
      <c r="Z991" s="1603"/>
      <c r="AA991" s="1604"/>
      <c r="AB991" s="1391">
        <f>SUM(AB986:AI990)</f>
        <v>128</v>
      </c>
      <c r="AC991" s="1392"/>
      <c r="AD991" s="1392"/>
      <c r="AE991" s="1392"/>
      <c r="AF991" s="1392"/>
      <c r="AG991" s="1392"/>
      <c r="AH991" s="1392"/>
      <c r="AI991" s="1393"/>
      <c r="AJ991" s="1409"/>
      <c r="AK991" s="1410"/>
      <c r="AL991" s="1410"/>
      <c r="AM991" s="1410"/>
      <c r="AN991" s="1410"/>
      <c r="AO991" s="1410"/>
      <c r="AP991" s="1410"/>
      <c r="AQ991" s="1411"/>
      <c r="AR991" s="68"/>
      <c r="AS991" s="68"/>
      <c r="AT991" s="68"/>
      <c r="AU991" s="68"/>
      <c r="AV991" s="68"/>
      <c r="AW991" s="68"/>
      <c r="AX991" s="68"/>
      <c r="AY991" s="68"/>
      <c r="AZ991" s="34"/>
      <c r="BA991" s="34"/>
      <c r="BB991" s="14"/>
      <c r="BC991" s="14"/>
    </row>
    <row r="992" spans="1:64" ht="12.95" customHeight="1">
      <c r="A992" s="14"/>
      <c r="B992" s="1572" t="s">
        <v>511</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09">
        <f>SUM(AJ986:AQ990)</f>
        <v>81333240</v>
      </c>
      <c r="AK992" s="1410"/>
      <c r="AL992" s="1410"/>
      <c r="AM992" s="1410"/>
      <c r="AN992" s="1410"/>
      <c r="AO992" s="1410"/>
      <c r="AP992" s="1410"/>
      <c r="AQ992" s="1411"/>
      <c r="AR992" s="68"/>
      <c r="AS992" s="68"/>
      <c r="AT992" s="68"/>
      <c r="AU992" s="68"/>
      <c r="AV992" s="68"/>
      <c r="AW992" s="68"/>
      <c r="AX992" s="68"/>
      <c r="AY992" s="68"/>
      <c r="AZ992" s="34"/>
      <c r="BB992" s="34"/>
      <c r="BC992" s="34"/>
    </row>
    <row r="993" spans="1:55" ht="12.95" customHeight="1">
      <c r="A993" s="14"/>
      <c r="B993" s="1533"/>
      <c r="C993" s="1534"/>
      <c r="D993" s="1534"/>
      <c r="E993" s="1534"/>
      <c r="F993" s="1534"/>
      <c r="G993" s="1534"/>
      <c r="H993" s="1534"/>
      <c r="I993" s="1534"/>
      <c r="J993" s="1534"/>
      <c r="K993" s="1534"/>
      <c r="L993" s="1534"/>
      <c r="M993" s="1534"/>
      <c r="N993" s="1534"/>
      <c r="O993" s="1534"/>
      <c r="P993" s="1534"/>
      <c r="Q993" s="1534"/>
      <c r="R993" s="1534"/>
      <c r="S993" s="1534"/>
      <c r="T993" s="1534"/>
      <c r="U993" s="1534"/>
      <c r="V993" s="1534"/>
      <c r="W993" s="1534"/>
      <c r="X993" s="1534"/>
      <c r="Y993" s="1534"/>
      <c r="Z993" s="1534"/>
      <c r="AA993" s="1534"/>
      <c r="AB993" s="1534"/>
      <c r="AC993" s="1534"/>
      <c r="AD993" s="1534"/>
      <c r="AE993" s="1535"/>
      <c r="AF993" s="1536" t="s">
        <v>665</v>
      </c>
      <c r="AG993" s="1537"/>
      <c r="AH993" s="1537"/>
      <c r="AI993" s="1538"/>
      <c r="AJ993" s="1533"/>
      <c r="AK993" s="1534"/>
      <c r="AL993" s="1534"/>
      <c r="AM993" s="1534"/>
      <c r="AN993" s="1534"/>
      <c r="AO993" s="1534"/>
      <c r="AP993" s="1534"/>
      <c r="AQ993" s="1535"/>
      <c r="AR993" s="68"/>
      <c r="AS993" s="68"/>
      <c r="AT993" s="68"/>
      <c r="AU993" s="68"/>
      <c r="AV993" s="68"/>
      <c r="AW993" s="68"/>
      <c r="AX993" s="68"/>
      <c r="AY993" s="68"/>
      <c r="AZ993" s="34"/>
      <c r="BA993" s="34"/>
      <c r="BB993" s="34"/>
      <c r="BC993" s="34"/>
    </row>
    <row r="994" spans="1:55" ht="12.95" customHeight="1">
      <c r="A994" s="14"/>
      <c r="B994" s="73"/>
      <c r="C994" s="927" t="s">
        <v>667</v>
      </c>
      <c r="D994" s="1385" t="s">
        <v>1218</v>
      </c>
      <c r="E994" s="1386"/>
      <c r="F994" s="1386"/>
      <c r="G994" s="1386"/>
      <c r="H994" s="1386"/>
      <c r="I994" s="1386"/>
      <c r="J994" s="1386"/>
      <c r="K994" s="1386"/>
      <c r="L994" s="1386"/>
      <c r="M994" s="1386"/>
      <c r="N994" s="1386"/>
      <c r="O994" s="1386"/>
      <c r="P994" s="1386"/>
      <c r="Q994" s="1386"/>
      <c r="R994" s="1386"/>
      <c r="S994" s="1386"/>
      <c r="T994" s="1386"/>
      <c r="U994" s="1386"/>
      <c r="V994" s="1386"/>
      <c r="W994" s="1386"/>
      <c r="X994" s="1386"/>
      <c r="Y994" s="1386"/>
      <c r="Z994" s="1386"/>
      <c r="AA994" s="1386"/>
      <c r="AB994" s="1386"/>
      <c r="AC994" s="1386"/>
      <c r="AD994" s="1386"/>
      <c r="AE994" s="1387"/>
      <c r="AF994" s="79"/>
      <c r="AG994" s="1539" t="s">
        <v>668</v>
      </c>
      <c r="AH994" s="1540"/>
      <c r="AI994" s="87"/>
      <c r="AJ994" s="1370">
        <f>ROUND(IF(AND(AG994="yes",D1000&gt;0),AJ992*0.2,0),0)</f>
        <v>0</v>
      </c>
      <c r="AK994" s="1371"/>
      <c r="AL994" s="1371"/>
      <c r="AM994" s="1371"/>
      <c r="AN994" s="1371"/>
      <c r="AO994" s="1371"/>
      <c r="AP994" s="1371"/>
      <c r="AQ994" s="1372"/>
      <c r="AR994" s="68"/>
      <c r="AS994" s="68"/>
      <c r="AT994" s="68"/>
      <c r="AU994" s="68"/>
      <c r="AV994" s="68"/>
      <c r="AW994" s="68"/>
      <c r="AX994" s="68"/>
      <c r="AY994" s="68"/>
      <c r="AZ994" s="34"/>
      <c r="BA994" s="34"/>
      <c r="BB994" s="34"/>
      <c r="BC994" s="34"/>
    </row>
    <row r="995" spans="1:55" ht="12.95" customHeight="1">
      <c r="A995" s="14"/>
      <c r="B995" s="257"/>
      <c r="C995" s="256"/>
      <c r="D995" s="1521" t="s">
        <v>2234</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3"/>
      <c r="AF995" s="73"/>
      <c r="AG995" s="14"/>
      <c r="AH995" s="14"/>
      <c r="AI995" s="83"/>
      <c r="AJ995" s="1373"/>
      <c r="AK995" s="1374"/>
      <c r="AL995" s="1374"/>
      <c r="AM995" s="1374"/>
      <c r="AN995" s="1374"/>
      <c r="AO995" s="1374"/>
      <c r="AP995" s="1374"/>
      <c r="AQ995" s="1375"/>
      <c r="AR995" s="68"/>
      <c r="AS995" s="68"/>
      <c r="AT995" s="68"/>
      <c r="AU995" s="68"/>
      <c r="AV995" s="68"/>
      <c r="AW995" s="68"/>
      <c r="AX995" s="68"/>
      <c r="AY995" s="68"/>
      <c r="AZ995" s="34"/>
      <c r="BA995" s="34"/>
      <c r="BB995" s="34"/>
      <c r="BC995" s="34"/>
    </row>
    <row r="996" spans="1:55" ht="12.95" customHeight="1">
      <c r="A996" s="14"/>
      <c r="B996" s="257"/>
      <c r="C996" s="256"/>
      <c r="D996" s="1521"/>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3"/>
      <c r="AF996" s="73"/>
      <c r="AG996" s="14"/>
      <c r="AH996" s="14"/>
      <c r="AI996" s="83"/>
      <c r="AJ996" s="1373"/>
      <c r="AK996" s="1374"/>
      <c r="AL996" s="1374"/>
      <c r="AM996" s="1374"/>
      <c r="AN996" s="1374"/>
      <c r="AO996" s="1374"/>
      <c r="AP996" s="1374"/>
      <c r="AQ996" s="1375"/>
      <c r="AR996" s="68"/>
      <c r="AS996" s="68"/>
      <c r="AT996" s="68"/>
      <c r="AU996" s="68"/>
      <c r="AV996" s="68"/>
      <c r="AW996" s="68"/>
      <c r="AX996" s="68"/>
      <c r="AY996" s="68"/>
      <c r="AZ996" s="34"/>
      <c r="BA996" s="34"/>
      <c r="BB996" s="34"/>
      <c r="BC996" s="34"/>
    </row>
    <row r="997" spans="1:55" ht="12.95" customHeight="1">
      <c r="A997" s="14"/>
      <c r="B997" s="257"/>
      <c r="C997" s="256"/>
      <c r="D997" s="1521"/>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73"/>
      <c r="AG997" s="14"/>
      <c r="AH997" s="14"/>
      <c r="AI997" s="83"/>
      <c r="AJ997" s="1373"/>
      <c r="AK997" s="1374"/>
      <c r="AL997" s="1374"/>
      <c r="AM997" s="1374"/>
      <c r="AN997" s="1374"/>
      <c r="AO997" s="1374"/>
      <c r="AP997" s="1374"/>
      <c r="AQ997" s="1375"/>
      <c r="AR997" s="68"/>
      <c r="AS997" s="68"/>
      <c r="AT997" s="68"/>
      <c r="AU997" s="68"/>
      <c r="AV997" s="68"/>
      <c r="AW997" s="68"/>
      <c r="AX997" s="68"/>
      <c r="AY997" s="68"/>
      <c r="AZ997" s="34"/>
      <c r="BA997" s="34"/>
      <c r="BB997" s="34"/>
      <c r="BC997" s="34"/>
    </row>
    <row r="998" spans="1:55" ht="12.95" customHeight="1">
      <c r="A998" s="14"/>
      <c r="B998" s="257"/>
      <c r="C998" s="256"/>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73"/>
      <c r="AG998" s="14"/>
      <c r="AH998" s="14"/>
      <c r="AI998" s="83"/>
      <c r="AJ998" s="1373"/>
      <c r="AK998" s="1374"/>
      <c r="AL998" s="1374"/>
      <c r="AM998" s="1374"/>
      <c r="AN998" s="1374"/>
      <c r="AO998" s="1374"/>
      <c r="AP998" s="1374"/>
      <c r="AQ998" s="1375"/>
      <c r="AR998" s="68"/>
      <c r="AS998" s="68"/>
      <c r="AT998" s="68"/>
      <c r="AU998" s="68"/>
      <c r="AV998" s="68"/>
      <c r="AW998" s="68"/>
      <c r="AX998" s="68"/>
      <c r="AY998" s="68"/>
      <c r="AZ998" s="34"/>
      <c r="BA998" s="34"/>
      <c r="BB998" s="34"/>
      <c r="BC998" s="34"/>
    </row>
    <row r="999" spans="1:55" ht="12.95" customHeight="1">
      <c r="A999" s="14"/>
      <c r="B999" s="257"/>
      <c r="C999" s="256"/>
      <c r="D999" s="1524" t="s">
        <v>2204</v>
      </c>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6"/>
      <c r="AF999" s="73"/>
      <c r="AG999" s="14"/>
      <c r="AH999" s="14"/>
      <c r="AI999" s="83"/>
      <c r="AJ999" s="1373"/>
      <c r="AK999" s="1374"/>
      <c r="AL999" s="1374"/>
      <c r="AM999" s="1374"/>
      <c r="AN999" s="1374"/>
      <c r="AO999" s="1374"/>
      <c r="AP999" s="1374"/>
      <c r="AQ999" s="1375"/>
      <c r="AR999" s="68"/>
      <c r="AS999" s="68"/>
      <c r="AT999" s="68"/>
      <c r="AU999" s="68"/>
      <c r="AV999" s="68"/>
      <c r="AW999" s="68"/>
      <c r="AX999" s="68"/>
      <c r="AY999" s="68"/>
      <c r="AZ999" s="34"/>
      <c r="BA999" s="34"/>
      <c r="BB999" s="34"/>
      <c r="BC999" s="34"/>
    </row>
    <row r="1000" spans="1:55" ht="12.95" customHeight="1">
      <c r="A1000" s="14"/>
      <c r="B1000" s="257"/>
      <c r="C1000" s="256"/>
      <c r="D1000" s="1575"/>
      <c r="E1000" s="1576"/>
      <c r="F1000" s="1576"/>
      <c r="G1000" s="1576"/>
      <c r="H1000" s="1576"/>
      <c r="I1000" s="1576"/>
      <c r="J1000" s="1576"/>
      <c r="K1000" s="1576"/>
      <c r="L1000" s="1576"/>
      <c r="M1000" s="1576"/>
      <c r="N1000" s="1576"/>
      <c r="O1000" s="1576"/>
      <c r="P1000" s="1576"/>
      <c r="Q1000" s="1576"/>
      <c r="R1000" s="1576"/>
      <c r="S1000" s="1576"/>
      <c r="T1000" s="1576"/>
      <c r="U1000" s="1576"/>
      <c r="V1000" s="1576"/>
      <c r="W1000" s="1576"/>
      <c r="X1000" s="1576"/>
      <c r="Y1000" s="1576"/>
      <c r="Z1000" s="1576"/>
      <c r="AA1000" s="1576"/>
      <c r="AB1000" s="1576"/>
      <c r="AC1000" s="1576"/>
      <c r="AD1000" s="1576"/>
      <c r="AE1000" s="1577"/>
      <c r="AF1000" s="77"/>
      <c r="AG1000" s="7"/>
      <c r="AH1000" s="7"/>
      <c r="AI1000" s="78"/>
      <c r="AJ1000" s="1376"/>
      <c r="AK1000" s="1377"/>
      <c r="AL1000" s="1377"/>
      <c r="AM1000" s="1377"/>
      <c r="AN1000" s="1377"/>
      <c r="AO1000" s="1377"/>
      <c r="AP1000" s="1377"/>
      <c r="AQ1000" s="1378"/>
      <c r="AR1000" s="68"/>
      <c r="AS1000" s="68"/>
      <c r="AT1000" s="68"/>
      <c r="AU1000" s="68"/>
      <c r="AV1000" s="68"/>
      <c r="AW1000" s="68"/>
      <c r="AX1000" s="68"/>
      <c r="AY1000" s="68"/>
      <c r="AZ1000" s="34"/>
      <c r="BA1000" s="34"/>
      <c r="BB1000" s="34"/>
      <c r="BC1000" s="34"/>
    </row>
    <row r="1001" spans="1:55" ht="12.95" customHeight="1">
      <c r="A1001" s="14"/>
      <c r="B1001" s="255"/>
      <c r="C1001" s="318"/>
      <c r="D1001" s="1509" t="s">
        <v>1284</v>
      </c>
      <c r="E1001" s="1510"/>
      <c r="F1001" s="1510"/>
      <c r="G1001" s="1510"/>
      <c r="H1001" s="1510"/>
      <c r="I1001" s="1510"/>
      <c r="J1001" s="1510"/>
      <c r="K1001" s="1510"/>
      <c r="L1001" s="1510"/>
      <c r="M1001" s="1510"/>
      <c r="N1001" s="1510"/>
      <c r="O1001" s="1510"/>
      <c r="P1001" s="1510"/>
      <c r="Q1001" s="1510"/>
      <c r="R1001" s="1510"/>
      <c r="S1001" s="1510"/>
      <c r="T1001" s="1510"/>
      <c r="U1001" s="1510"/>
      <c r="V1001" s="1510"/>
      <c r="W1001" s="1510"/>
      <c r="X1001" s="1510"/>
      <c r="Y1001" s="1510"/>
      <c r="Z1001" s="1510"/>
      <c r="AA1001" s="1510"/>
      <c r="AB1001" s="1510"/>
      <c r="AC1001" s="1510"/>
      <c r="AD1001" s="1510"/>
      <c r="AE1001" s="1511"/>
      <c r="AF1001" s="79"/>
      <c r="AG1001" s="1403" t="s">
        <v>668</v>
      </c>
      <c r="AH1001" s="1404"/>
      <c r="AI1001" s="87"/>
      <c r="AJ1001" s="1370">
        <f>ROUND(IF(AG1001="yes",AJ992*0.05,0),0)</f>
        <v>0</v>
      </c>
      <c r="AK1001" s="1371"/>
      <c r="AL1001" s="1371"/>
      <c r="AM1001" s="1371"/>
      <c r="AN1001" s="1371"/>
      <c r="AO1001" s="1371"/>
      <c r="AP1001" s="1371"/>
      <c r="AQ1001" s="1372"/>
      <c r="AR1001" s="68"/>
      <c r="AS1001" s="68"/>
      <c r="AT1001" s="68"/>
      <c r="AU1001" s="68"/>
      <c r="AV1001" s="68"/>
      <c r="AW1001" s="68"/>
      <c r="AX1001" s="68"/>
      <c r="AY1001" s="68"/>
      <c r="AZ1001" s="34"/>
      <c r="BA1001" s="34"/>
      <c r="BB1001" s="34"/>
      <c r="BC1001" s="34"/>
    </row>
    <row r="1002" spans="1:55" ht="12.95" customHeight="1">
      <c r="A1002" s="14"/>
      <c r="B1002" s="257"/>
      <c r="C1002" s="82"/>
      <c r="D1002" s="1521" t="s">
        <v>1282</v>
      </c>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73"/>
      <c r="AG1002" s="14"/>
      <c r="AH1002" s="14"/>
      <c r="AI1002" s="83"/>
      <c r="AJ1002" s="1373"/>
      <c r="AK1002" s="1374"/>
      <c r="AL1002" s="1374"/>
      <c r="AM1002" s="1374"/>
      <c r="AN1002" s="1374"/>
      <c r="AO1002" s="1374"/>
      <c r="AP1002" s="1374"/>
      <c r="AQ1002" s="1375"/>
      <c r="AR1002" s="68"/>
      <c r="AS1002" s="68"/>
      <c r="AT1002" s="68"/>
      <c r="AU1002" s="68"/>
      <c r="AV1002" s="68"/>
      <c r="AW1002" s="68"/>
      <c r="AX1002" s="68"/>
      <c r="AY1002" s="34"/>
      <c r="AZ1002" s="34"/>
      <c r="BB1002" s="34"/>
    </row>
    <row r="1003" spans="1:55" ht="12.95" customHeight="1">
      <c r="A1003" s="14"/>
      <c r="B1003" s="257"/>
      <c r="C1003" s="82"/>
      <c r="D1003" s="1521"/>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3"/>
      <c r="AF1003" s="73"/>
      <c r="AG1003" s="14"/>
      <c r="AH1003" s="14"/>
      <c r="AI1003" s="83"/>
      <c r="AJ1003" s="1373"/>
      <c r="AK1003" s="1374"/>
      <c r="AL1003" s="1374"/>
      <c r="AM1003" s="1374"/>
      <c r="AN1003" s="1374"/>
      <c r="AO1003" s="1374"/>
      <c r="AP1003" s="1374"/>
      <c r="AQ1003" s="1375"/>
      <c r="AR1003" s="68"/>
      <c r="AS1003" s="68"/>
      <c r="AT1003" s="68"/>
      <c r="AU1003" s="68"/>
      <c r="AV1003" s="68"/>
      <c r="AW1003" s="68"/>
      <c r="AX1003" s="68"/>
      <c r="AY1003" s="914">
        <f>G753+O797</f>
        <v>127</v>
      </c>
      <c r="AZ1003" s="34"/>
      <c r="BB1003" s="34"/>
    </row>
    <row r="1004" spans="1:55" ht="12.95" customHeight="1">
      <c r="A1004" s="14"/>
      <c r="B1004" s="257"/>
      <c r="C1004" s="82"/>
      <c r="D1004" s="1521"/>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3"/>
      <c r="AF1004" s="73"/>
      <c r="AG1004" s="14"/>
      <c r="AH1004" s="14"/>
      <c r="AI1004" s="83"/>
      <c r="AJ1004" s="1373"/>
      <c r="AK1004" s="1374"/>
      <c r="AL1004" s="1374"/>
      <c r="AM1004" s="1374"/>
      <c r="AN1004" s="1374"/>
      <c r="AO1004" s="1374"/>
      <c r="AP1004" s="1374"/>
      <c r="AQ1004" s="1375"/>
      <c r="AR1004" s="68"/>
      <c r="AS1004" s="68"/>
      <c r="AT1004" s="68"/>
      <c r="AU1004" s="68"/>
      <c r="AV1004" s="68"/>
      <c r="AW1004" s="68"/>
      <c r="AX1004" s="68"/>
      <c r="AY1004" s="14"/>
      <c r="AZ1004" s="34"/>
      <c r="BB1004" s="34"/>
    </row>
    <row r="1005" spans="1:55" ht="12.95" customHeight="1">
      <c r="A1005" s="14"/>
      <c r="B1005" s="257"/>
      <c r="C1005" s="82"/>
      <c r="D1005" s="1521"/>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3"/>
      <c r="AG1005" s="14"/>
      <c r="AH1005" s="14"/>
      <c r="AI1005" s="83"/>
      <c r="AJ1005" s="1373"/>
      <c r="AK1005" s="1374"/>
      <c r="AL1005" s="1374"/>
      <c r="AM1005" s="1374"/>
      <c r="AN1005" s="1374"/>
      <c r="AO1005" s="1374"/>
      <c r="AP1005" s="1374"/>
      <c r="AQ1005" s="1375"/>
      <c r="AR1005" s="68"/>
      <c r="AS1005" s="68"/>
      <c r="AT1005" s="68"/>
      <c r="AU1005" s="68"/>
      <c r="AV1005" s="68"/>
      <c r="AW1005" s="68"/>
      <c r="AX1005" s="68"/>
      <c r="AY1005" s="913">
        <f>ROUNDDOWN(X1048/I1048,2)</f>
        <v>0.1</v>
      </c>
      <c r="AZ1005" s="34"/>
      <c r="BB1005" s="34"/>
    </row>
    <row r="1006" spans="1:55" ht="12.95" customHeight="1">
      <c r="A1006" s="14"/>
      <c r="B1006" s="75"/>
      <c r="C1006" s="76"/>
      <c r="D1006" s="1524"/>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77"/>
      <c r="AG1006" s="7"/>
      <c r="AH1006" s="7"/>
      <c r="AI1006" s="78"/>
      <c r="AJ1006" s="1376"/>
      <c r="AK1006" s="1377"/>
      <c r="AL1006" s="1377"/>
      <c r="AM1006" s="1377"/>
      <c r="AN1006" s="1377"/>
      <c r="AO1006" s="1377"/>
      <c r="AP1006" s="1377"/>
      <c r="AQ1006" s="1378"/>
      <c r="AR1006" s="68"/>
      <c r="AS1006" s="68"/>
      <c r="AT1006" s="68"/>
      <c r="AU1006" s="68"/>
      <c r="AV1006" s="68"/>
      <c r="AW1006" s="68"/>
      <c r="AX1006" s="68"/>
      <c r="AY1006" s="913">
        <f>ROUNDDOWN(X1052/I1052,2)</f>
        <v>0.1</v>
      </c>
      <c r="AZ1006" s="34"/>
      <c r="BB1006" s="34"/>
    </row>
    <row r="1007" spans="1:55" ht="12.95" customHeight="1">
      <c r="A1007" s="14"/>
      <c r="B1007" s="255"/>
      <c r="C1007" s="80" t="s">
        <v>671</v>
      </c>
      <c r="D1007" s="1509" t="s">
        <v>1681</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86"/>
      <c r="AG1007" s="1403" t="s">
        <v>544</v>
      </c>
      <c r="AH1007" s="1404"/>
      <c r="AI1007" s="87"/>
      <c r="AJ1007" s="1370">
        <f>ROUND(IF(AG1007="yes",AJ992*0.1,0),0)</f>
        <v>8133324</v>
      </c>
      <c r="AK1007" s="1371"/>
      <c r="AL1007" s="1371"/>
      <c r="AM1007" s="1371"/>
      <c r="AN1007" s="1371"/>
      <c r="AO1007" s="1371"/>
      <c r="AP1007" s="1371"/>
      <c r="AQ1007" s="1372"/>
      <c r="AR1007" s="68"/>
      <c r="AS1007" s="68"/>
      <c r="AT1007" s="68"/>
      <c r="AU1007" s="68"/>
      <c r="AV1007" s="68"/>
      <c r="AW1007" s="68"/>
      <c r="AX1007" s="68"/>
      <c r="BB1007" s="34"/>
    </row>
    <row r="1008" spans="1:55" ht="12.95" customHeight="1">
      <c r="A1008" s="14"/>
      <c r="B1008" s="73"/>
      <c r="C1008" s="74"/>
      <c r="D1008" s="1394" t="s">
        <v>1283</v>
      </c>
      <c r="E1008" s="1395"/>
      <c r="F1008" s="1395"/>
      <c r="G1008" s="1395"/>
      <c r="H1008" s="1395"/>
      <c r="I1008" s="1395"/>
      <c r="J1008" s="1395"/>
      <c r="K1008" s="1395"/>
      <c r="L1008" s="1395"/>
      <c r="M1008" s="1395"/>
      <c r="N1008" s="1395"/>
      <c r="O1008" s="1395"/>
      <c r="P1008" s="1395"/>
      <c r="Q1008" s="1395"/>
      <c r="R1008" s="1395"/>
      <c r="S1008" s="1395"/>
      <c r="T1008" s="1395"/>
      <c r="U1008" s="1395"/>
      <c r="V1008" s="1395"/>
      <c r="W1008" s="1395"/>
      <c r="X1008" s="1395"/>
      <c r="Y1008" s="1395"/>
      <c r="Z1008" s="1395"/>
      <c r="AA1008" s="1395"/>
      <c r="AB1008" s="1395"/>
      <c r="AC1008" s="1395"/>
      <c r="AD1008" s="1395"/>
      <c r="AE1008" s="1396"/>
      <c r="AF1008" s="73"/>
      <c r="AI1008" s="83"/>
      <c r="AJ1008" s="1373"/>
      <c r="AK1008" s="1374"/>
      <c r="AL1008" s="1374"/>
      <c r="AM1008" s="1374"/>
      <c r="AN1008" s="1374"/>
      <c r="AO1008" s="1374"/>
      <c r="AP1008" s="1374"/>
      <c r="AQ1008" s="1375"/>
      <c r="AR1008" s="68"/>
      <c r="AS1008" s="68"/>
      <c r="AT1008" s="68"/>
      <c r="AU1008" s="68"/>
      <c r="AV1008" s="68"/>
      <c r="AW1008" s="68"/>
      <c r="AX1008" s="68"/>
    </row>
    <row r="1009" spans="1:52" ht="12.95" customHeight="1">
      <c r="A1009" s="14"/>
      <c r="B1009" s="73"/>
      <c r="C1009" s="74"/>
      <c r="D1009" s="1394"/>
      <c r="E1009" s="1395"/>
      <c r="F1009" s="1395"/>
      <c r="G1009" s="1395"/>
      <c r="H1009" s="1395"/>
      <c r="I1009" s="1395"/>
      <c r="J1009" s="1395"/>
      <c r="K1009" s="1395"/>
      <c r="L1009" s="1395"/>
      <c r="M1009" s="1395"/>
      <c r="N1009" s="1395"/>
      <c r="O1009" s="1395"/>
      <c r="P1009" s="1395"/>
      <c r="Q1009" s="1395"/>
      <c r="R1009" s="1395"/>
      <c r="S1009" s="1395"/>
      <c r="T1009" s="1395"/>
      <c r="U1009" s="1395"/>
      <c r="V1009" s="1395"/>
      <c r="W1009" s="1395"/>
      <c r="X1009" s="1395"/>
      <c r="Y1009" s="1395"/>
      <c r="Z1009" s="1395"/>
      <c r="AA1009" s="1395"/>
      <c r="AB1009" s="1395"/>
      <c r="AC1009" s="1395"/>
      <c r="AD1009" s="1395"/>
      <c r="AE1009" s="1396"/>
      <c r="AF1009" s="73"/>
      <c r="AG1009" s="14"/>
      <c r="AH1009" s="14"/>
      <c r="AI1009" s="83"/>
      <c r="AJ1009" s="1373"/>
      <c r="AK1009" s="1374"/>
      <c r="AL1009" s="1374"/>
      <c r="AM1009" s="1374"/>
      <c r="AN1009" s="1374"/>
      <c r="AO1009" s="1374"/>
      <c r="AP1009" s="1374"/>
      <c r="AQ1009" s="1375"/>
      <c r="AR1009" s="68"/>
      <c r="AS1009" s="68"/>
      <c r="AT1009" s="68"/>
      <c r="AU1009" s="68"/>
      <c r="AV1009" s="68"/>
      <c r="AW1009" s="68"/>
      <c r="AX1009" s="68"/>
    </row>
    <row r="1010" spans="1:52" ht="12.95" customHeight="1">
      <c r="A1010" s="14"/>
      <c r="B1010" s="85"/>
      <c r="C1010" s="76"/>
      <c r="D1010" s="1397"/>
      <c r="E1010" s="1398"/>
      <c r="F1010" s="1398"/>
      <c r="G1010" s="1398"/>
      <c r="H1010" s="1398"/>
      <c r="I1010" s="1398"/>
      <c r="J1010" s="1398"/>
      <c r="K1010" s="1398"/>
      <c r="L1010" s="1398"/>
      <c r="M1010" s="1398"/>
      <c r="N1010" s="1398"/>
      <c r="O1010" s="1398"/>
      <c r="P1010" s="1398"/>
      <c r="Q1010" s="1398"/>
      <c r="R1010" s="1398"/>
      <c r="S1010" s="1398"/>
      <c r="T1010" s="1398"/>
      <c r="U1010" s="1398"/>
      <c r="V1010" s="1398"/>
      <c r="W1010" s="1398"/>
      <c r="X1010" s="1398"/>
      <c r="Y1010" s="1398"/>
      <c r="Z1010" s="1398"/>
      <c r="AA1010" s="1398"/>
      <c r="AB1010" s="1398"/>
      <c r="AC1010" s="1398"/>
      <c r="AD1010" s="1398"/>
      <c r="AE1010" s="1399"/>
      <c r="AF1010" s="77"/>
      <c r="AG1010" s="7"/>
      <c r="AH1010" s="7"/>
      <c r="AI1010" s="78"/>
      <c r="AJ1010" s="1376"/>
      <c r="AK1010" s="1377"/>
      <c r="AL1010" s="1377"/>
      <c r="AM1010" s="1377"/>
      <c r="AN1010" s="1377"/>
      <c r="AO1010" s="1377"/>
      <c r="AP1010" s="1377"/>
      <c r="AQ1010" s="1378"/>
      <c r="AR1010" s="68"/>
      <c r="AS1010" s="68"/>
      <c r="AT1010" s="68"/>
      <c r="AU1010" s="68"/>
      <c r="AV1010" s="68"/>
      <c r="AW1010" s="68"/>
      <c r="AX1010" s="68"/>
    </row>
    <row r="1011" spans="1:52" ht="12.95" customHeight="1">
      <c r="A1011" s="14"/>
      <c r="B1011" s="79"/>
      <c r="C1011" s="80" t="s">
        <v>211</v>
      </c>
      <c r="D1011" s="1509" t="s">
        <v>1285</v>
      </c>
      <c r="E1011" s="1510"/>
      <c r="F1011" s="1510"/>
      <c r="G1011" s="1510"/>
      <c r="H1011" s="1510"/>
      <c r="I1011" s="1510"/>
      <c r="J1011" s="1510"/>
      <c r="K1011" s="1510"/>
      <c r="L1011" s="1510"/>
      <c r="M1011" s="1510"/>
      <c r="N1011" s="1510"/>
      <c r="O1011" s="1510"/>
      <c r="P1011" s="1510"/>
      <c r="Q1011" s="1510"/>
      <c r="R1011" s="1510"/>
      <c r="S1011" s="1510"/>
      <c r="T1011" s="1510"/>
      <c r="U1011" s="1510"/>
      <c r="V1011" s="1510"/>
      <c r="W1011" s="1510"/>
      <c r="X1011" s="1510"/>
      <c r="Y1011" s="1510"/>
      <c r="Z1011" s="1510"/>
      <c r="AA1011" s="1510"/>
      <c r="AB1011" s="1510"/>
      <c r="AC1011" s="1510"/>
      <c r="AD1011" s="1510"/>
      <c r="AE1011" s="1511"/>
      <c r="AF1011" s="79"/>
      <c r="AG1011" s="1403" t="s">
        <v>668</v>
      </c>
      <c r="AH1011" s="1404"/>
      <c r="AI1011" s="87"/>
      <c r="AJ1011" s="1370">
        <f>ROUND(IF(AG1011="yes",AJ992*0.02,0),0)</f>
        <v>0</v>
      </c>
      <c r="AK1011" s="1371"/>
      <c r="AL1011" s="1371"/>
      <c r="AM1011" s="1371"/>
      <c r="AN1011" s="1371"/>
      <c r="AO1011" s="1371"/>
      <c r="AP1011" s="1371"/>
      <c r="AQ1011" s="1372"/>
      <c r="AR1011" s="68"/>
      <c r="AS1011" s="68"/>
      <c r="AT1011" s="68"/>
      <c r="AU1011" s="68"/>
      <c r="AV1011" s="68"/>
      <c r="AW1011" s="68"/>
      <c r="AX1011" s="68"/>
    </row>
    <row r="1012" spans="1:52" ht="14.25" customHeight="1">
      <c r="A1012" s="14"/>
      <c r="B1012" s="73"/>
      <c r="C1012" s="74"/>
      <c r="D1012" s="1397" t="s">
        <v>1286</v>
      </c>
      <c r="E1012" s="1398"/>
      <c r="F1012" s="1398"/>
      <c r="G1012" s="1398"/>
      <c r="H1012" s="1398"/>
      <c r="I1012" s="1398"/>
      <c r="J1012" s="1398"/>
      <c r="K1012" s="1398"/>
      <c r="L1012" s="1398"/>
      <c r="M1012" s="1398"/>
      <c r="N1012" s="1398"/>
      <c r="O1012" s="1398"/>
      <c r="P1012" s="1398"/>
      <c r="Q1012" s="1398"/>
      <c r="R1012" s="1398"/>
      <c r="S1012" s="1398"/>
      <c r="T1012" s="1398"/>
      <c r="U1012" s="1398"/>
      <c r="V1012" s="1398"/>
      <c r="W1012" s="1398"/>
      <c r="X1012" s="1398"/>
      <c r="Y1012" s="1398"/>
      <c r="Z1012" s="1398"/>
      <c r="AA1012" s="1398"/>
      <c r="AB1012" s="1398"/>
      <c r="AC1012" s="1398"/>
      <c r="AD1012" s="1398"/>
      <c r="AE1012" s="1399"/>
      <c r="AF1012" s="77"/>
      <c r="AG1012" s="7"/>
      <c r="AH1012" s="7"/>
      <c r="AI1012" s="78"/>
      <c r="AJ1012" s="1376"/>
      <c r="AK1012" s="1377"/>
      <c r="AL1012" s="1377"/>
      <c r="AM1012" s="1377"/>
      <c r="AN1012" s="1377"/>
      <c r="AO1012" s="1377"/>
      <c r="AP1012" s="1377"/>
      <c r="AQ1012" s="1378"/>
      <c r="AR1012" s="68"/>
      <c r="AS1012" s="68"/>
      <c r="AT1012" s="68"/>
      <c r="AU1012" s="68"/>
      <c r="AV1012" s="68"/>
      <c r="AW1012" s="68"/>
      <c r="AX1012" s="3" t="s">
        <v>1839</v>
      </c>
      <c r="AZ1012" s="3" t="s">
        <v>2606</v>
      </c>
    </row>
    <row r="1013" spans="1:52" ht="12.95" customHeight="1">
      <c r="A1013" s="14"/>
      <c r="B1013" s="79"/>
      <c r="C1013" s="80" t="s">
        <v>214</v>
      </c>
      <c r="D1013" s="1509" t="s">
        <v>1287</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79"/>
      <c r="AG1013" s="1403" t="s">
        <v>668</v>
      </c>
      <c r="AH1013" s="1404"/>
      <c r="AI1013" s="79"/>
      <c r="AJ1013" s="1370">
        <f>ROUND(IF(AG1013="yes",AJ992*0.02,0),0)</f>
        <v>0</v>
      </c>
      <c r="AK1013" s="1371"/>
      <c r="AL1013" s="1371"/>
      <c r="AM1013" s="1371"/>
      <c r="AN1013" s="1371"/>
      <c r="AO1013" s="1371"/>
      <c r="AP1013" s="1371"/>
      <c r="AQ1013" s="137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394" t="s">
        <v>1288</v>
      </c>
      <c r="E1014" s="1395"/>
      <c r="F1014" s="1395"/>
      <c r="G1014" s="1395"/>
      <c r="H1014" s="1395"/>
      <c r="I1014" s="1395"/>
      <c r="J1014" s="1395"/>
      <c r="K1014" s="1395"/>
      <c r="L1014" s="1395"/>
      <c r="M1014" s="1395"/>
      <c r="N1014" s="1395"/>
      <c r="O1014" s="1395"/>
      <c r="P1014" s="1395"/>
      <c r="Q1014" s="1395"/>
      <c r="R1014" s="1395"/>
      <c r="S1014" s="1395"/>
      <c r="T1014" s="1395"/>
      <c r="U1014" s="1395"/>
      <c r="V1014" s="1395"/>
      <c r="W1014" s="1395"/>
      <c r="X1014" s="1395"/>
      <c r="Y1014" s="1395"/>
      <c r="Z1014" s="1395"/>
      <c r="AA1014" s="1395"/>
      <c r="AB1014" s="1395"/>
      <c r="AC1014" s="1395"/>
      <c r="AD1014" s="1395"/>
      <c r="AE1014" s="1396"/>
      <c r="AF1014" s="1363" t="str">
        <f>IF(AND(AG1013="yes",T212&lt;&gt;1),"The project may not be eligible for this boost","")</f>
        <v/>
      </c>
      <c r="AG1014" s="1364"/>
      <c r="AH1014" s="1364"/>
      <c r="AI1014" s="1365"/>
      <c r="AJ1014" s="1373"/>
      <c r="AK1014" s="1374"/>
      <c r="AL1014" s="1374"/>
      <c r="AM1014" s="1374"/>
      <c r="AN1014" s="1374"/>
      <c r="AO1014" s="1374"/>
      <c r="AP1014" s="1374"/>
      <c r="AQ1014" s="1375"/>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397"/>
      <c r="E1015" s="1398"/>
      <c r="F1015" s="1398"/>
      <c r="G1015" s="1398"/>
      <c r="H1015" s="1398"/>
      <c r="I1015" s="1398"/>
      <c r="J1015" s="1398"/>
      <c r="K1015" s="1398"/>
      <c r="L1015" s="1398"/>
      <c r="M1015" s="1398"/>
      <c r="N1015" s="1398"/>
      <c r="O1015" s="1398"/>
      <c r="P1015" s="1398"/>
      <c r="Q1015" s="1398"/>
      <c r="R1015" s="1398"/>
      <c r="S1015" s="1398"/>
      <c r="T1015" s="1398"/>
      <c r="U1015" s="1398"/>
      <c r="V1015" s="1398"/>
      <c r="W1015" s="1398"/>
      <c r="X1015" s="1398"/>
      <c r="Y1015" s="1398"/>
      <c r="Z1015" s="1398"/>
      <c r="AA1015" s="1398"/>
      <c r="AB1015" s="1398"/>
      <c r="AC1015" s="1398"/>
      <c r="AD1015" s="1398"/>
      <c r="AE1015" s="1399"/>
      <c r="AF1015" s="1366"/>
      <c r="AG1015" s="1367"/>
      <c r="AH1015" s="1367"/>
      <c r="AI1015" s="1368"/>
      <c r="AJ1015" s="1376"/>
      <c r="AK1015" s="1377"/>
      <c r="AL1015" s="1377"/>
      <c r="AM1015" s="1377"/>
      <c r="AN1015" s="1377"/>
      <c r="AO1015" s="1377"/>
      <c r="AP1015" s="1377"/>
      <c r="AQ1015" s="1378"/>
      <c r="AR1015" s="68"/>
      <c r="AS1015" s="68"/>
      <c r="AT1015" s="68"/>
      <c r="AU1015" s="68"/>
      <c r="AV1015" s="68"/>
      <c r="AW1015" s="68"/>
      <c r="AX1015" s="3">
        <v>3</v>
      </c>
      <c r="AY1015" s="200">
        <f t="shared" si="53"/>
        <v>0</v>
      </c>
      <c r="AZ1015" s="1255">
        <v>0.05</v>
      </c>
    </row>
    <row r="1016" spans="1:52" ht="12.95" customHeight="1">
      <c r="A1016" s="14"/>
      <c r="B1016" s="79"/>
      <c r="C1016" s="80" t="s">
        <v>217</v>
      </c>
      <c r="D1016" s="1385" t="s">
        <v>2235</v>
      </c>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79"/>
      <c r="AG1016" s="1403" t="s">
        <v>668</v>
      </c>
      <c r="AH1016" s="1404"/>
      <c r="AI1016" s="87"/>
      <c r="AJ1016" s="1370">
        <f>IF(AG1016="yes",AJ992*AY1024,0)</f>
        <v>0</v>
      </c>
      <c r="AK1016" s="1371"/>
      <c r="AL1016" s="1371"/>
      <c r="AM1016" s="1371"/>
      <c r="AN1016" s="1371"/>
      <c r="AO1016" s="1371"/>
      <c r="AP1016" s="1371"/>
      <c r="AQ1016" s="1372"/>
      <c r="AR1016" s="68"/>
      <c r="AS1016" s="68"/>
      <c r="AT1016" s="68"/>
      <c r="AU1016" s="68"/>
      <c r="AV1016" s="68"/>
      <c r="AW1016" s="68"/>
      <c r="AX1016" s="3">
        <v>4</v>
      </c>
      <c r="AY1016" s="200">
        <f t="shared" si="53"/>
        <v>0</v>
      </c>
      <c r="AZ1016" s="1255">
        <v>0.02</v>
      </c>
    </row>
    <row r="1017" spans="1:52" ht="12.95" customHeight="1">
      <c r="A1017" s="14"/>
      <c r="B1017" s="73"/>
      <c r="C1017" s="74"/>
      <c r="D1017" s="1394" t="s">
        <v>1289</v>
      </c>
      <c r="E1017" s="1395"/>
      <c r="F1017" s="1395"/>
      <c r="G1017" s="1395"/>
      <c r="H1017" s="1395"/>
      <c r="I1017" s="1395"/>
      <c r="J1017" s="1395"/>
      <c r="K1017" s="1395"/>
      <c r="L1017" s="1395"/>
      <c r="M1017" s="1395"/>
      <c r="N1017" s="1395"/>
      <c r="O1017" s="1395"/>
      <c r="P1017" s="1395"/>
      <c r="Q1017" s="1395"/>
      <c r="R1017" s="1395"/>
      <c r="S1017" s="1395"/>
      <c r="T1017" s="1395"/>
      <c r="U1017" s="1395"/>
      <c r="V1017" s="1395"/>
      <c r="W1017" s="1395"/>
      <c r="X1017" s="1395"/>
      <c r="Y1017" s="1395"/>
      <c r="Z1017" s="1395"/>
      <c r="AA1017" s="1395"/>
      <c r="AB1017" s="1395"/>
      <c r="AC1017" s="1395"/>
      <c r="AD1017" s="1395"/>
      <c r="AE1017" s="1396"/>
      <c r="AF1017" s="1357" t="str">
        <f>IF(AND(AG1016="Yes",AY1024=0),AY1027,"")</f>
        <v/>
      </c>
      <c r="AG1017" s="1358"/>
      <c r="AH1017" s="1358"/>
      <c r="AI1017" s="1359"/>
      <c r="AJ1017" s="1373"/>
      <c r="AK1017" s="1374"/>
      <c r="AL1017" s="1374"/>
      <c r="AM1017" s="1374"/>
      <c r="AN1017" s="1374"/>
      <c r="AO1017" s="1374"/>
      <c r="AP1017" s="1374"/>
      <c r="AQ1017" s="1375"/>
      <c r="AR1017" s="68"/>
      <c r="AS1017" s="68"/>
      <c r="AT1017" s="68"/>
      <c r="AU1017" s="68"/>
      <c r="AV1017" s="68"/>
      <c r="AW1017" s="68"/>
      <c r="AX1017" s="3">
        <v>5</v>
      </c>
      <c r="AY1017" s="200">
        <f t="shared" si="53"/>
        <v>0</v>
      </c>
      <c r="AZ1017" s="1255">
        <v>0.04</v>
      </c>
    </row>
    <row r="1018" spans="1:52" ht="12.95" customHeight="1">
      <c r="A1018" s="14"/>
      <c r="B1018" s="73"/>
      <c r="C1018" s="74"/>
      <c r="D1018" s="1394"/>
      <c r="E1018" s="1395"/>
      <c r="F1018" s="1395"/>
      <c r="G1018" s="1395"/>
      <c r="H1018" s="1395"/>
      <c r="I1018" s="1395"/>
      <c r="J1018" s="1395"/>
      <c r="K1018" s="1395"/>
      <c r="L1018" s="1395"/>
      <c r="M1018" s="1395"/>
      <c r="N1018" s="1395"/>
      <c r="O1018" s="1395"/>
      <c r="P1018" s="1395"/>
      <c r="Q1018" s="1395"/>
      <c r="R1018" s="1395"/>
      <c r="S1018" s="1395"/>
      <c r="T1018" s="1395"/>
      <c r="U1018" s="1395"/>
      <c r="V1018" s="1395"/>
      <c r="W1018" s="1395"/>
      <c r="X1018" s="1395"/>
      <c r="Y1018" s="1395"/>
      <c r="Z1018" s="1395"/>
      <c r="AA1018" s="1395"/>
      <c r="AB1018" s="1395"/>
      <c r="AC1018" s="1395"/>
      <c r="AD1018" s="1395"/>
      <c r="AE1018" s="1396"/>
      <c r="AF1018" s="1357"/>
      <c r="AG1018" s="1358"/>
      <c r="AH1018" s="1358"/>
      <c r="AI1018" s="1359"/>
      <c r="AJ1018" s="1373"/>
      <c r="AK1018" s="1374"/>
      <c r="AL1018" s="1374"/>
      <c r="AM1018" s="1374"/>
      <c r="AN1018" s="1374"/>
      <c r="AO1018" s="1374"/>
      <c r="AP1018" s="1374"/>
      <c r="AQ1018" s="1375"/>
      <c r="AR1018" s="68"/>
      <c r="AS1018" s="68"/>
      <c r="AT1018" s="68"/>
      <c r="AU1018" s="68"/>
      <c r="AV1018" s="68"/>
      <c r="AW1018" s="68"/>
      <c r="AX1018" s="3">
        <v>6</v>
      </c>
      <c r="AY1018" s="200">
        <f t="shared" si="53"/>
        <v>0</v>
      </c>
      <c r="AZ1018" s="1255">
        <v>0.04</v>
      </c>
    </row>
    <row r="1019" spans="1:52" ht="12.95" customHeight="1">
      <c r="A1019" s="14"/>
      <c r="B1019" s="81"/>
      <c r="C1019" s="82"/>
      <c r="D1019" s="1397"/>
      <c r="E1019" s="1398"/>
      <c r="F1019" s="1398"/>
      <c r="G1019" s="1398"/>
      <c r="H1019" s="1398"/>
      <c r="I1019" s="1398"/>
      <c r="J1019" s="1398"/>
      <c r="K1019" s="1398"/>
      <c r="L1019" s="1398"/>
      <c r="M1019" s="1398"/>
      <c r="N1019" s="1398"/>
      <c r="O1019" s="1398"/>
      <c r="P1019" s="1398"/>
      <c r="Q1019" s="1398"/>
      <c r="R1019" s="1398"/>
      <c r="S1019" s="1398"/>
      <c r="T1019" s="1398"/>
      <c r="U1019" s="1398"/>
      <c r="V1019" s="1398"/>
      <c r="W1019" s="1398"/>
      <c r="X1019" s="1398"/>
      <c r="Y1019" s="1398"/>
      <c r="Z1019" s="1398"/>
      <c r="AA1019" s="1398"/>
      <c r="AB1019" s="1398"/>
      <c r="AC1019" s="1398"/>
      <c r="AD1019" s="1398"/>
      <c r="AE1019" s="1399"/>
      <c r="AF1019" s="1360"/>
      <c r="AG1019" s="1361"/>
      <c r="AH1019" s="1361"/>
      <c r="AI1019" s="1362"/>
      <c r="AJ1019" s="1376"/>
      <c r="AK1019" s="1377"/>
      <c r="AL1019" s="1377"/>
      <c r="AM1019" s="1377"/>
      <c r="AN1019" s="1377"/>
      <c r="AO1019" s="1377"/>
      <c r="AP1019" s="1377"/>
      <c r="AQ1019" s="1378"/>
      <c r="AR1019" s="68"/>
      <c r="AS1019" s="68"/>
      <c r="AT1019" s="68"/>
      <c r="AU1019" s="68"/>
      <c r="AV1019" s="68"/>
      <c r="AW1019" s="68"/>
      <c r="AX1019" s="3">
        <v>7</v>
      </c>
      <c r="AY1019" s="200">
        <f t="shared" si="53"/>
        <v>0</v>
      </c>
      <c r="AZ1019" s="1255">
        <v>0.01</v>
      </c>
    </row>
    <row r="1020" spans="1:52" ht="12.95" customHeight="1">
      <c r="A1020" s="14"/>
      <c r="B1020" s="79"/>
      <c r="C1020" s="80" t="s">
        <v>222</v>
      </c>
      <c r="D1020" s="1503" t="s">
        <v>1290</v>
      </c>
      <c r="E1020" s="1504"/>
      <c r="F1020" s="1504"/>
      <c r="G1020" s="1504"/>
      <c r="H1020" s="1504"/>
      <c r="I1020" s="1504"/>
      <c r="J1020" s="1504"/>
      <c r="K1020" s="1504"/>
      <c r="L1020" s="1504"/>
      <c r="M1020" s="1504"/>
      <c r="N1020" s="1504"/>
      <c r="O1020" s="1504"/>
      <c r="P1020" s="1504"/>
      <c r="Q1020" s="1504"/>
      <c r="R1020" s="1504"/>
      <c r="S1020" s="1504"/>
      <c r="T1020" s="1504"/>
      <c r="U1020" s="1504"/>
      <c r="V1020" s="1504"/>
      <c r="W1020" s="1504"/>
      <c r="X1020" s="1504"/>
      <c r="Y1020" s="1504"/>
      <c r="Z1020" s="1504"/>
      <c r="AA1020" s="1504"/>
      <c r="AB1020" s="1504"/>
      <c r="AC1020" s="1504"/>
      <c r="AD1020" s="1504"/>
      <c r="AE1020" s="1505"/>
      <c r="AF1020" s="79"/>
      <c r="AG1020" s="1403" t="s">
        <v>668</v>
      </c>
      <c r="AH1020" s="1404"/>
      <c r="AI1020" s="87"/>
      <c r="AJ1020" s="1370">
        <f>ROUND(IF(AND(AG1020="Yes",J1024&lt;&gt;"N/A",AF1023&lt;&gt;""),MIN(AF1023,(0.15*AJ992)),0),0)</f>
        <v>0</v>
      </c>
      <c r="AK1020" s="1371"/>
      <c r="AL1020" s="1371"/>
      <c r="AM1020" s="1371"/>
      <c r="AN1020" s="1371"/>
      <c r="AO1020" s="1371"/>
      <c r="AP1020" s="1371"/>
      <c r="AQ1020" s="1372"/>
      <c r="AR1020" s="68"/>
      <c r="AS1020" s="68"/>
      <c r="AT1020" s="68"/>
      <c r="AU1020" s="68"/>
      <c r="AV1020" s="68"/>
      <c r="AW1020" s="68"/>
      <c r="AX1020" s="3">
        <v>8</v>
      </c>
      <c r="AY1020" s="200">
        <f t="shared" si="53"/>
        <v>0</v>
      </c>
      <c r="AZ1020" s="1255">
        <v>0.01</v>
      </c>
    </row>
    <row r="1021" spans="1:52" ht="12.95" customHeight="1">
      <c r="A1021" s="14"/>
      <c r="B1021" s="81"/>
      <c r="C1021" s="84"/>
      <c r="D1021" s="1506"/>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400" t="str">
        <f>IF(AG1020="yes","Please Select Type and Enter Amount:","")</f>
        <v/>
      </c>
      <c r="AG1021" s="1401"/>
      <c r="AH1021" s="1401"/>
      <c r="AI1021" s="1402"/>
      <c r="AJ1021" s="1373"/>
      <c r="AK1021" s="1374"/>
      <c r="AL1021" s="1374"/>
      <c r="AM1021" s="1374"/>
      <c r="AN1021" s="1374"/>
      <c r="AO1021" s="1374"/>
      <c r="AP1021" s="1374"/>
      <c r="AQ1021" s="1375"/>
      <c r="AR1021" s="68"/>
      <c r="AS1021" s="68"/>
      <c r="AT1021" s="68"/>
      <c r="AU1021" s="68"/>
      <c r="AV1021" s="68"/>
      <c r="AW1021" s="68"/>
      <c r="AX1021" s="3">
        <v>9</v>
      </c>
      <c r="AY1021" s="200">
        <f t="shared" si="53"/>
        <v>0</v>
      </c>
      <c r="AZ1021" s="1255">
        <v>0.01</v>
      </c>
    </row>
    <row r="1022" spans="1:52" ht="12.95" customHeight="1">
      <c r="A1022" s="14"/>
      <c r="B1022" s="81"/>
      <c r="C1022" s="84"/>
      <c r="D1022" s="1394" t="s">
        <v>1291</v>
      </c>
      <c r="E1022" s="1395"/>
      <c r="F1022" s="1395"/>
      <c r="G1022" s="1395"/>
      <c r="H1022" s="1395"/>
      <c r="I1022" s="1395"/>
      <c r="J1022" s="1395"/>
      <c r="K1022" s="1395"/>
      <c r="L1022" s="1395"/>
      <c r="M1022" s="1395"/>
      <c r="N1022" s="1395"/>
      <c r="O1022" s="1395"/>
      <c r="P1022" s="1395"/>
      <c r="Q1022" s="1395"/>
      <c r="R1022" s="1395"/>
      <c r="S1022" s="1395"/>
      <c r="T1022" s="1395"/>
      <c r="U1022" s="1395"/>
      <c r="V1022" s="1395"/>
      <c r="W1022" s="1395"/>
      <c r="X1022" s="1395"/>
      <c r="Y1022" s="1395"/>
      <c r="Z1022" s="1395"/>
      <c r="AA1022" s="1395"/>
      <c r="AB1022" s="1395"/>
      <c r="AC1022" s="1395"/>
      <c r="AD1022" s="1395"/>
      <c r="AE1022" s="1396"/>
      <c r="AF1022" s="1400"/>
      <c r="AG1022" s="1401"/>
      <c r="AH1022" s="1401"/>
      <c r="AI1022" s="1402"/>
      <c r="AJ1022" s="1373"/>
      <c r="AK1022" s="1374"/>
      <c r="AL1022" s="1374"/>
      <c r="AM1022" s="1374"/>
      <c r="AN1022" s="1374"/>
      <c r="AO1022" s="1374"/>
      <c r="AP1022" s="1374"/>
      <c r="AQ1022" s="1375"/>
      <c r="AR1022" s="68"/>
      <c r="AS1022" s="68"/>
      <c r="AT1022" s="68"/>
      <c r="AU1022" s="68"/>
      <c r="AV1022" s="68"/>
      <c r="AW1022" s="68"/>
      <c r="AX1022" s="3">
        <v>10</v>
      </c>
      <c r="AY1022" s="200">
        <f t="shared" si="53"/>
        <v>0</v>
      </c>
      <c r="AZ1022" s="1255">
        <v>0.02</v>
      </c>
    </row>
    <row r="1023" spans="1:52" ht="12.95" customHeight="1">
      <c r="A1023" s="14"/>
      <c r="B1023" s="81"/>
      <c r="C1023" s="84"/>
      <c r="D1023" s="1394"/>
      <c r="E1023" s="1395"/>
      <c r="F1023" s="1395"/>
      <c r="G1023" s="1395"/>
      <c r="H1023" s="1395"/>
      <c r="I1023" s="1395"/>
      <c r="J1023" s="1395"/>
      <c r="K1023" s="1395"/>
      <c r="L1023" s="1395"/>
      <c r="M1023" s="1395"/>
      <c r="N1023" s="1395"/>
      <c r="O1023" s="1395"/>
      <c r="P1023" s="1395"/>
      <c r="Q1023" s="1395"/>
      <c r="R1023" s="1395"/>
      <c r="S1023" s="1395"/>
      <c r="T1023" s="1395"/>
      <c r="U1023" s="1395"/>
      <c r="V1023" s="1395"/>
      <c r="W1023" s="1395"/>
      <c r="X1023" s="1395"/>
      <c r="Y1023" s="1395"/>
      <c r="Z1023" s="1395"/>
      <c r="AA1023" s="1395"/>
      <c r="AB1023" s="1395"/>
      <c r="AC1023" s="1395"/>
      <c r="AD1023" s="1395"/>
      <c r="AE1023" s="1396"/>
      <c r="AF1023" s="1412"/>
      <c r="AG1023" s="1412"/>
      <c r="AH1023" s="1412"/>
      <c r="AI1023" s="1412"/>
      <c r="AJ1023" s="1373"/>
      <c r="AK1023" s="1374"/>
      <c r="AL1023" s="1374"/>
      <c r="AM1023" s="1374"/>
      <c r="AN1023" s="1374"/>
      <c r="AO1023" s="1374"/>
      <c r="AP1023" s="1374"/>
      <c r="AQ1023" s="1375"/>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530" t="s">
        <v>590</v>
      </c>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1412"/>
      <c r="AG1024" s="1412"/>
      <c r="AH1024" s="1412"/>
      <c r="AI1024" s="1412"/>
      <c r="AJ1024" s="1376"/>
      <c r="AK1024" s="1377"/>
      <c r="AL1024" s="1377"/>
      <c r="AM1024" s="1377"/>
      <c r="AN1024" s="1377"/>
      <c r="AO1024" s="1377"/>
      <c r="AP1024" s="1377"/>
      <c r="AQ1024" s="1378"/>
      <c r="AR1024" s="68"/>
      <c r="AS1024" s="68"/>
      <c r="AT1024" s="68"/>
      <c r="AU1024" s="68"/>
      <c r="AV1024" s="68"/>
      <c r="AW1024" s="68"/>
      <c r="AX1024" s="1032" t="s">
        <v>2605</v>
      </c>
      <c r="AY1024" s="201">
        <f>IF(SUM(AY1015:AY1023)&lt;=0.2,SUM(AY1015:AY1023),0.2)</f>
        <v>0</v>
      </c>
    </row>
    <row r="1025" spans="1:57" ht="12.95" customHeight="1">
      <c r="A1025" s="14"/>
      <c r="B1025" s="79"/>
      <c r="C1025" s="80" t="s">
        <v>228</v>
      </c>
      <c r="D1025" s="1509" t="s">
        <v>1292</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79"/>
      <c r="AG1025" s="1403" t="s">
        <v>668</v>
      </c>
      <c r="AH1025" s="1404"/>
      <c r="AI1025" s="87"/>
      <c r="AJ1025" s="1370">
        <f>ROUND(IF(AG1025="Yes",AF1027,0),0)</f>
        <v>0</v>
      </c>
      <c r="AK1025" s="1371"/>
      <c r="AL1025" s="1371"/>
      <c r="AM1025" s="1371"/>
      <c r="AN1025" s="1371"/>
      <c r="AO1025" s="1371"/>
      <c r="AP1025" s="1371"/>
      <c r="AQ1025" s="1372"/>
      <c r="AR1025" s="68"/>
      <c r="AS1025" s="68"/>
      <c r="AT1025" s="68"/>
      <c r="AU1025" s="68"/>
      <c r="AV1025" s="68"/>
      <c r="AW1025" s="68"/>
      <c r="AX1025" s="68"/>
      <c r="AY1025" s="68"/>
    </row>
    <row r="1026" spans="1:57" ht="12.95" customHeight="1">
      <c r="A1026" s="14"/>
      <c r="B1026" s="73"/>
      <c r="C1026" s="74"/>
      <c r="D1026" s="1394" t="s">
        <v>1688</v>
      </c>
      <c r="E1026" s="1395"/>
      <c r="F1026" s="1395"/>
      <c r="G1026" s="1395"/>
      <c r="H1026" s="1395"/>
      <c r="I1026" s="1395"/>
      <c r="J1026" s="1395"/>
      <c r="K1026" s="1395"/>
      <c r="L1026" s="1395"/>
      <c r="M1026" s="1395"/>
      <c r="N1026" s="1395"/>
      <c r="O1026" s="1395"/>
      <c r="P1026" s="1395"/>
      <c r="Q1026" s="1395"/>
      <c r="R1026" s="1395"/>
      <c r="S1026" s="1395"/>
      <c r="T1026" s="1395"/>
      <c r="U1026" s="1395"/>
      <c r="V1026" s="1395"/>
      <c r="W1026" s="1395"/>
      <c r="X1026" s="1395"/>
      <c r="Y1026" s="1395"/>
      <c r="Z1026" s="1395"/>
      <c r="AA1026" s="1395"/>
      <c r="AB1026" s="1395"/>
      <c r="AC1026" s="1395"/>
      <c r="AD1026" s="1395"/>
      <c r="AE1026" s="1396"/>
      <c r="AF1026" s="1512" t="str">
        <f>IF(AG1025="yes","Enter Amount:","")</f>
        <v/>
      </c>
      <c r="AG1026" s="1513"/>
      <c r="AH1026" s="1513"/>
      <c r="AI1026" s="1514"/>
      <c r="AJ1026" s="1373"/>
      <c r="AK1026" s="1374"/>
      <c r="AL1026" s="1374"/>
      <c r="AM1026" s="1374"/>
      <c r="AN1026" s="1374"/>
      <c r="AO1026" s="1374"/>
      <c r="AP1026" s="1374"/>
      <c r="AQ1026" s="1375"/>
      <c r="AR1026" s="68"/>
      <c r="AS1026" s="68"/>
      <c r="AT1026" s="68"/>
      <c r="AU1026" s="68"/>
      <c r="AV1026" s="68"/>
      <c r="AW1026" s="68"/>
      <c r="AX1026" s="68"/>
      <c r="AY1026" s="68"/>
    </row>
    <row r="1027" spans="1:57" ht="12.95" customHeight="1">
      <c r="A1027" s="14"/>
      <c r="B1027" s="73"/>
      <c r="C1027" s="74"/>
      <c r="D1027" s="1394"/>
      <c r="E1027" s="1395"/>
      <c r="F1027" s="1395"/>
      <c r="G1027" s="1395"/>
      <c r="H1027" s="1395"/>
      <c r="I1027" s="1395"/>
      <c r="J1027" s="1395"/>
      <c r="K1027" s="1395"/>
      <c r="L1027" s="1395"/>
      <c r="M1027" s="1395"/>
      <c r="N1027" s="1395"/>
      <c r="O1027" s="1395"/>
      <c r="P1027" s="1395"/>
      <c r="Q1027" s="1395"/>
      <c r="R1027" s="1395"/>
      <c r="S1027" s="1395"/>
      <c r="T1027" s="1395"/>
      <c r="U1027" s="1395"/>
      <c r="V1027" s="1395"/>
      <c r="W1027" s="1395"/>
      <c r="X1027" s="1395"/>
      <c r="Y1027" s="1395"/>
      <c r="Z1027" s="1395"/>
      <c r="AA1027" s="1395"/>
      <c r="AB1027" s="1395"/>
      <c r="AC1027" s="1395"/>
      <c r="AD1027" s="1395"/>
      <c r="AE1027" s="1396"/>
      <c r="AF1027" s="1412"/>
      <c r="AG1027" s="1412"/>
      <c r="AH1027" s="1412"/>
      <c r="AI1027" s="1412"/>
      <c r="AJ1027" s="1373"/>
      <c r="AK1027" s="1374"/>
      <c r="AL1027" s="1374"/>
      <c r="AM1027" s="1374"/>
      <c r="AN1027" s="1374"/>
      <c r="AO1027" s="1374"/>
      <c r="AP1027" s="1374"/>
      <c r="AQ1027" s="137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397"/>
      <c r="E1028" s="1398"/>
      <c r="F1028" s="1398"/>
      <c r="G1028" s="1398"/>
      <c r="H1028" s="1398"/>
      <c r="I1028" s="1398"/>
      <c r="J1028" s="1398"/>
      <c r="K1028" s="1398"/>
      <c r="L1028" s="1398"/>
      <c r="M1028" s="1398"/>
      <c r="N1028" s="1398"/>
      <c r="O1028" s="1398"/>
      <c r="P1028" s="1398"/>
      <c r="Q1028" s="1398"/>
      <c r="R1028" s="1398"/>
      <c r="S1028" s="1398"/>
      <c r="T1028" s="1398"/>
      <c r="U1028" s="1398"/>
      <c r="V1028" s="1398"/>
      <c r="W1028" s="1398"/>
      <c r="X1028" s="1398"/>
      <c r="Y1028" s="1398"/>
      <c r="Z1028" s="1398"/>
      <c r="AA1028" s="1398"/>
      <c r="AB1028" s="1398"/>
      <c r="AC1028" s="1398"/>
      <c r="AD1028" s="1398"/>
      <c r="AE1028" s="1399"/>
      <c r="AF1028" s="1412"/>
      <c r="AG1028" s="1412"/>
      <c r="AH1028" s="1412"/>
      <c r="AI1028" s="1412"/>
      <c r="AJ1028" s="1376"/>
      <c r="AK1028" s="1377"/>
      <c r="AL1028" s="1377"/>
      <c r="AM1028" s="1377"/>
      <c r="AN1028" s="1377"/>
      <c r="AO1028" s="1377"/>
      <c r="AP1028" s="1377"/>
      <c r="AQ1028" s="1378"/>
      <c r="AR1028" s="68"/>
      <c r="AS1028" s="68"/>
      <c r="AT1028" s="68"/>
      <c r="AU1028" s="68"/>
      <c r="AV1028" s="68"/>
      <c r="AW1028" s="68"/>
      <c r="AX1028" s="68"/>
      <c r="AY1028" s="68"/>
    </row>
    <row r="1029" spans="1:57" ht="12.95" customHeight="1">
      <c r="A1029" s="14"/>
      <c r="B1029" s="79"/>
      <c r="C1029" s="80" t="s">
        <v>233</v>
      </c>
      <c r="D1029" s="1385" t="s">
        <v>1293</v>
      </c>
      <c r="E1029" s="1386"/>
      <c r="F1029" s="1386"/>
      <c r="G1029" s="1386"/>
      <c r="H1029" s="1386"/>
      <c r="I1029" s="1386"/>
      <c r="J1029" s="1386"/>
      <c r="K1029" s="1386"/>
      <c r="L1029" s="1386"/>
      <c r="M1029" s="1386"/>
      <c r="N1029" s="1386"/>
      <c r="O1029" s="1386"/>
      <c r="P1029" s="1386"/>
      <c r="Q1029" s="1386"/>
      <c r="R1029" s="1386"/>
      <c r="S1029" s="1386"/>
      <c r="T1029" s="1386"/>
      <c r="U1029" s="1386"/>
      <c r="V1029" s="1386"/>
      <c r="W1029" s="1386"/>
      <c r="X1029" s="1386"/>
      <c r="Y1029" s="1386"/>
      <c r="Z1029" s="1386"/>
      <c r="AA1029" s="1386"/>
      <c r="AB1029" s="1386"/>
      <c r="AC1029" s="1386"/>
      <c r="AD1029" s="1386"/>
      <c r="AE1029" s="1387"/>
      <c r="AF1029" s="79"/>
      <c r="AG1029" s="1403" t="s">
        <v>544</v>
      </c>
      <c r="AH1029" s="1404"/>
      <c r="AI1029" s="87"/>
      <c r="AJ1029" s="1370">
        <f>ROUND(IF(AG1029="yes",(AJ992*0.1),0),0)</f>
        <v>8133324</v>
      </c>
      <c r="AK1029" s="1371"/>
      <c r="AL1029" s="1371"/>
      <c r="AM1029" s="1371"/>
      <c r="AN1029" s="1371"/>
      <c r="AO1029" s="1371"/>
      <c r="AP1029" s="1371"/>
      <c r="AQ1029" s="1372"/>
      <c r="AR1029" s="68"/>
      <c r="AS1029" s="68"/>
      <c r="AT1029" s="68"/>
      <c r="AU1029" s="68"/>
      <c r="AV1029" s="68"/>
      <c r="AW1029" s="68"/>
      <c r="AX1029" s="68"/>
      <c r="AY1029" s="68"/>
    </row>
    <row r="1030" spans="1:57" ht="12.95" customHeight="1">
      <c r="A1030" s="14"/>
      <c r="B1030" s="73"/>
      <c r="C1030" s="74"/>
      <c r="D1030" s="1394" t="s">
        <v>1294</v>
      </c>
      <c r="E1030" s="1395"/>
      <c r="F1030" s="1395"/>
      <c r="G1030" s="1395"/>
      <c r="H1030" s="1395"/>
      <c r="I1030" s="1395"/>
      <c r="J1030" s="1395"/>
      <c r="K1030" s="1395"/>
      <c r="L1030" s="1395"/>
      <c r="M1030" s="1395"/>
      <c r="N1030" s="1395"/>
      <c r="O1030" s="1395"/>
      <c r="P1030" s="1395"/>
      <c r="Q1030" s="1395"/>
      <c r="R1030" s="1395"/>
      <c r="S1030" s="1395"/>
      <c r="T1030" s="1395"/>
      <c r="U1030" s="1395"/>
      <c r="V1030" s="1395"/>
      <c r="W1030" s="1395"/>
      <c r="X1030" s="1395"/>
      <c r="Y1030" s="1395"/>
      <c r="Z1030" s="1395"/>
      <c r="AA1030" s="1395"/>
      <c r="AB1030" s="1395"/>
      <c r="AC1030" s="1395"/>
      <c r="AD1030" s="1395"/>
      <c r="AE1030" s="1396"/>
      <c r="AF1030" s="73"/>
      <c r="AG1030" s="14"/>
      <c r="AH1030" s="14"/>
      <c r="AI1030" s="83"/>
      <c r="AJ1030" s="1373"/>
      <c r="AK1030" s="1374"/>
      <c r="AL1030" s="1374"/>
      <c r="AM1030" s="1374"/>
      <c r="AN1030" s="1374"/>
      <c r="AO1030" s="1374"/>
      <c r="AP1030" s="1374"/>
      <c r="AQ1030" s="1375"/>
      <c r="AR1030" s="68"/>
      <c r="AS1030" s="68"/>
      <c r="AT1030" s="68"/>
      <c r="AU1030" s="68"/>
      <c r="AV1030" s="68"/>
      <c r="AW1030" s="68"/>
      <c r="AX1030" s="68"/>
      <c r="AY1030" s="68"/>
    </row>
    <row r="1031" spans="1:57" ht="12.95" customHeight="1">
      <c r="A1031" s="14"/>
      <c r="B1031" s="77"/>
      <c r="C1031" s="74"/>
      <c r="D1031" s="1397"/>
      <c r="E1031" s="1398"/>
      <c r="F1031" s="1398"/>
      <c r="G1031" s="1398"/>
      <c r="H1031" s="1398"/>
      <c r="I1031" s="1398"/>
      <c r="J1031" s="1398"/>
      <c r="K1031" s="1398"/>
      <c r="L1031" s="1398"/>
      <c r="M1031" s="1398"/>
      <c r="N1031" s="1398"/>
      <c r="O1031" s="1398"/>
      <c r="P1031" s="1398"/>
      <c r="Q1031" s="1398"/>
      <c r="R1031" s="1398"/>
      <c r="S1031" s="1398"/>
      <c r="T1031" s="1398"/>
      <c r="U1031" s="1398"/>
      <c r="V1031" s="1398"/>
      <c r="W1031" s="1398"/>
      <c r="X1031" s="1398"/>
      <c r="Y1031" s="1398"/>
      <c r="Z1031" s="1398"/>
      <c r="AA1031" s="1398"/>
      <c r="AB1031" s="1398"/>
      <c r="AC1031" s="1398"/>
      <c r="AD1031" s="1398"/>
      <c r="AE1031" s="1399"/>
      <c r="AF1031" s="73"/>
      <c r="AG1031" s="14"/>
      <c r="AH1031" s="14"/>
      <c r="AI1031" s="83"/>
      <c r="AJ1031" s="1376"/>
      <c r="AK1031" s="1377"/>
      <c r="AL1031" s="1377"/>
      <c r="AM1031" s="1377"/>
      <c r="AN1031" s="1377"/>
      <c r="AO1031" s="1377"/>
      <c r="AP1031" s="1377"/>
      <c r="AQ1031" s="1378"/>
      <c r="AR1031" s="68"/>
      <c r="AS1031" s="68"/>
      <c r="AT1031" s="68"/>
      <c r="AU1031" s="68"/>
      <c r="AV1031" s="68"/>
      <c r="AW1031" s="68"/>
      <c r="AX1031" s="68"/>
      <c r="AY1031" s="68"/>
    </row>
    <row r="1032" spans="1:57" ht="12.95" customHeight="1">
      <c r="A1032" s="14"/>
      <c r="B1032" s="73"/>
      <c r="C1032" s="339" t="s">
        <v>686</v>
      </c>
      <c r="D1032" s="1509" t="s">
        <v>1684</v>
      </c>
      <c r="E1032" s="1510"/>
      <c r="F1032" s="1510"/>
      <c r="G1032" s="1510"/>
      <c r="H1032" s="1510"/>
      <c r="I1032" s="1510"/>
      <c r="J1032" s="1510"/>
      <c r="K1032" s="1510"/>
      <c r="L1032" s="1510"/>
      <c r="M1032" s="1510"/>
      <c r="N1032" s="1510"/>
      <c r="O1032" s="1510"/>
      <c r="P1032" s="1510"/>
      <c r="Q1032" s="1510"/>
      <c r="R1032" s="1510"/>
      <c r="S1032" s="1510"/>
      <c r="T1032" s="1510"/>
      <c r="U1032" s="1510"/>
      <c r="V1032" s="1510"/>
      <c r="W1032" s="1510"/>
      <c r="X1032" s="1510"/>
      <c r="Y1032" s="1510"/>
      <c r="Z1032" s="1510"/>
      <c r="AA1032" s="1510"/>
      <c r="AB1032" s="1510"/>
      <c r="AC1032" s="1510"/>
      <c r="AD1032" s="1510"/>
      <c r="AE1032" s="1511"/>
      <c r="AF1032" s="79"/>
      <c r="AG1032" s="1403" t="s">
        <v>668</v>
      </c>
      <c r="AH1032" s="1404"/>
      <c r="AI1032" s="87"/>
      <c r="AJ1032" s="1370">
        <f>ROUND(IF(AG1032="yes",(AJ992*0.15),0),0)</f>
        <v>0</v>
      </c>
      <c r="AK1032" s="1371"/>
      <c r="AL1032" s="1371"/>
      <c r="AM1032" s="1371"/>
      <c r="AN1032" s="1371"/>
      <c r="AO1032" s="1371"/>
      <c r="AP1032" s="1371"/>
      <c r="AQ1032" s="1372"/>
      <c r="AR1032" s="68"/>
      <c r="AS1032" s="68"/>
      <c r="AT1032" s="68"/>
      <c r="AU1032" s="68"/>
      <c r="AV1032" s="68"/>
      <c r="AW1032" s="68"/>
      <c r="AX1032" s="68"/>
      <c r="AY1032" s="68"/>
    </row>
    <row r="1033" spans="1:57" ht="12.95" customHeight="1">
      <c r="A1033" s="14"/>
      <c r="B1033" s="73"/>
      <c r="C1033" s="74"/>
      <c r="D1033" s="1498" t="s">
        <v>1685</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499"/>
      <c r="AF1033" s="915"/>
      <c r="AG1033" s="916"/>
      <c r="AH1033" s="916"/>
      <c r="AI1033" s="917"/>
      <c r="AJ1033" s="1373"/>
      <c r="AK1033" s="1374"/>
      <c r="AL1033" s="1374"/>
      <c r="AM1033" s="1374"/>
      <c r="AN1033" s="1374"/>
      <c r="AO1033" s="1374"/>
      <c r="AP1033" s="1374"/>
      <c r="AQ1033" s="1375"/>
      <c r="AR1033" s="68"/>
      <c r="AS1033" s="68"/>
      <c r="AT1033" s="68"/>
      <c r="AU1033" s="68"/>
      <c r="AV1033" s="68"/>
      <c r="AW1033" s="68"/>
      <c r="AX1033" s="68"/>
      <c r="AY1033" s="68"/>
    </row>
    <row r="1034" spans="1:57" ht="12.95" customHeight="1">
      <c r="A1034" s="14"/>
      <c r="B1034" s="73"/>
      <c r="C1034" s="74"/>
      <c r="D1034" s="1498"/>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499"/>
      <c r="AF1034" s="915"/>
      <c r="AG1034" s="916"/>
      <c r="AH1034" s="916"/>
      <c r="AI1034" s="917"/>
      <c r="AJ1034" s="1373"/>
      <c r="AK1034" s="1374"/>
      <c r="AL1034" s="1374"/>
      <c r="AM1034" s="1374"/>
      <c r="AN1034" s="1374"/>
      <c r="AO1034" s="1374"/>
      <c r="AP1034" s="1374"/>
      <c r="AQ1034" s="1375"/>
      <c r="AR1034" s="68"/>
      <c r="AS1034" s="68"/>
      <c r="AT1034" s="68"/>
      <c r="AU1034" s="68"/>
      <c r="AV1034" s="68"/>
      <c r="AW1034" s="68"/>
      <c r="AX1034" s="68"/>
      <c r="AY1034" s="68"/>
    </row>
    <row r="1035" spans="1:57" ht="12.95" customHeight="1">
      <c r="A1035" s="14"/>
      <c r="B1035" s="73"/>
      <c r="C1035" s="74"/>
      <c r="D1035" s="1500"/>
      <c r="E1035" s="1501"/>
      <c r="F1035" s="1501"/>
      <c r="G1035" s="1501"/>
      <c r="H1035" s="1501"/>
      <c r="I1035" s="1501"/>
      <c r="J1035" s="1501"/>
      <c r="K1035" s="1501"/>
      <c r="L1035" s="1501"/>
      <c r="M1035" s="1501"/>
      <c r="N1035" s="1501"/>
      <c r="O1035" s="1501"/>
      <c r="P1035" s="1501"/>
      <c r="Q1035" s="1501"/>
      <c r="R1035" s="1501"/>
      <c r="S1035" s="1501"/>
      <c r="T1035" s="1501"/>
      <c r="U1035" s="1501"/>
      <c r="V1035" s="1501"/>
      <c r="W1035" s="1501"/>
      <c r="X1035" s="1501"/>
      <c r="Y1035" s="1501"/>
      <c r="Z1035" s="1501"/>
      <c r="AA1035" s="1501"/>
      <c r="AB1035" s="1501"/>
      <c r="AC1035" s="1501"/>
      <c r="AD1035" s="1501"/>
      <c r="AE1035" s="1502"/>
      <c r="AF1035" s="918"/>
      <c r="AG1035" s="919"/>
      <c r="AH1035" s="919"/>
      <c r="AI1035" s="920"/>
      <c r="AJ1035" s="1376"/>
      <c r="AK1035" s="1377"/>
      <c r="AL1035" s="1377"/>
      <c r="AM1035" s="1377"/>
      <c r="AN1035" s="1377"/>
      <c r="AO1035" s="1377"/>
      <c r="AP1035" s="1377"/>
      <c r="AQ1035" s="1378"/>
      <c r="AR1035" s="68"/>
      <c r="AS1035" s="68"/>
      <c r="AT1035" s="68"/>
      <c r="AU1035" s="68"/>
      <c r="AV1035" s="68"/>
      <c r="AW1035" s="68"/>
      <c r="AX1035" s="68"/>
      <c r="AY1035" s="68"/>
    </row>
    <row r="1036" spans="1:57" ht="12.95" customHeight="1">
      <c r="A1036" s="14"/>
      <c r="B1036" s="73"/>
      <c r="C1036" s="339" t="s">
        <v>686</v>
      </c>
      <c r="D1036" s="1385" t="s">
        <v>1686</v>
      </c>
      <c r="E1036" s="1386"/>
      <c r="F1036" s="1386"/>
      <c r="G1036" s="1386"/>
      <c r="H1036" s="1386"/>
      <c r="I1036" s="1386"/>
      <c r="J1036" s="1386"/>
      <c r="K1036" s="1386"/>
      <c r="L1036" s="1386"/>
      <c r="M1036" s="1386"/>
      <c r="N1036" s="1386"/>
      <c r="O1036" s="1386"/>
      <c r="P1036" s="1386"/>
      <c r="Q1036" s="1386"/>
      <c r="R1036" s="1386"/>
      <c r="S1036" s="1386"/>
      <c r="T1036" s="1386"/>
      <c r="U1036" s="1386"/>
      <c r="V1036" s="1386"/>
      <c r="W1036" s="1386"/>
      <c r="X1036" s="1386"/>
      <c r="Y1036" s="1386"/>
      <c r="Z1036" s="1386"/>
      <c r="AA1036" s="1386"/>
      <c r="AB1036" s="1386"/>
      <c r="AC1036" s="1386"/>
      <c r="AD1036" s="1386"/>
      <c r="AE1036" s="1387"/>
      <c r="AF1036" s="73"/>
      <c r="AG1036" s="1582" t="s">
        <v>544</v>
      </c>
      <c r="AH1036" s="1583"/>
      <c r="AI1036" s="83"/>
      <c r="AJ1036" s="1370">
        <f>ROUND(IF(AND(AG1036="yes",AJ1032=0),(AJ992*0.1),0),0)</f>
        <v>8133324</v>
      </c>
      <c r="AK1036" s="1371"/>
      <c r="AL1036" s="1371"/>
      <c r="AM1036" s="1371"/>
      <c r="AN1036" s="1371"/>
      <c r="AO1036" s="1371"/>
      <c r="AP1036" s="1371"/>
      <c r="AQ1036" s="1372"/>
      <c r="AR1036" s="68"/>
      <c r="AS1036" s="68"/>
      <c r="AT1036" s="68"/>
      <c r="AU1036" s="68"/>
      <c r="AV1036" s="68"/>
      <c r="AW1036" s="68"/>
      <c r="AX1036" s="68"/>
      <c r="AY1036" s="68"/>
    </row>
    <row r="1037" spans="1:57" ht="12.95" customHeight="1">
      <c r="A1037" s="14"/>
      <c r="B1037" s="73"/>
      <c r="C1037" s="74"/>
      <c r="D1037" s="1498" t="s">
        <v>1687</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499"/>
      <c r="AF1037" s="73"/>
      <c r="AG1037" s="14"/>
      <c r="AH1037" s="14"/>
      <c r="AI1037" s="83"/>
      <c r="AJ1037" s="1373"/>
      <c r="AK1037" s="1374"/>
      <c r="AL1037" s="1374"/>
      <c r="AM1037" s="1374"/>
      <c r="AN1037" s="1374"/>
      <c r="AO1037" s="1374"/>
      <c r="AP1037" s="1374"/>
      <c r="AQ1037" s="1375"/>
      <c r="AR1037" s="68"/>
      <c r="AS1037" s="68"/>
      <c r="AT1037" s="68"/>
      <c r="AU1037" s="68"/>
      <c r="AV1037" s="68"/>
      <c r="AW1037" s="68"/>
      <c r="AX1037" s="68"/>
      <c r="AY1037" s="68"/>
    </row>
    <row r="1038" spans="1:57" ht="12.95" customHeight="1">
      <c r="A1038" s="14"/>
      <c r="B1038" s="73"/>
      <c r="C1038" s="74"/>
      <c r="D1038" s="1498"/>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499"/>
      <c r="AF1038" s="73"/>
      <c r="AG1038" s="14"/>
      <c r="AH1038" s="14"/>
      <c r="AI1038" s="83"/>
      <c r="AJ1038" s="1373"/>
      <c r="AK1038" s="1374"/>
      <c r="AL1038" s="1374"/>
      <c r="AM1038" s="1374"/>
      <c r="AN1038" s="1374"/>
      <c r="AO1038" s="1374"/>
      <c r="AP1038" s="1374"/>
      <c r="AQ1038" s="1375"/>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498"/>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499"/>
      <c r="AF1039" s="73"/>
      <c r="AG1039" s="14"/>
      <c r="AH1039" s="14"/>
      <c r="AI1039" s="83"/>
      <c r="AJ1039" s="1373"/>
      <c r="AK1039" s="1374"/>
      <c r="AL1039" s="1374"/>
      <c r="AM1039" s="1374"/>
      <c r="AN1039" s="1374"/>
      <c r="AO1039" s="1374"/>
      <c r="AP1039" s="1374"/>
      <c r="AQ1039" s="1375"/>
      <c r="AR1039" s="68"/>
      <c r="AS1039" s="68"/>
      <c r="AT1039" s="68"/>
      <c r="AU1039" s="68"/>
      <c r="AV1039" s="68"/>
      <c r="AW1039" s="68"/>
      <c r="AX1039" s="68"/>
      <c r="AY1039" s="68"/>
      <c r="BA1039">
        <f>IFERROR((($CI$753+$CM$753)/$AG$440),0)</f>
        <v>0.20472440944881889</v>
      </c>
      <c r="BB1039" s="3" t="s">
        <v>2492</v>
      </c>
    </row>
    <row r="1040" spans="1:57" ht="12.95" customHeight="1">
      <c r="A1040" s="14"/>
      <c r="B1040" s="73"/>
      <c r="C1040" s="74"/>
      <c r="D1040" s="1500"/>
      <c r="E1040" s="1501"/>
      <c r="F1040" s="1501"/>
      <c r="G1040" s="1501"/>
      <c r="H1040" s="1501"/>
      <c r="I1040" s="1501"/>
      <c r="J1040" s="1501"/>
      <c r="K1040" s="1501"/>
      <c r="L1040" s="1501"/>
      <c r="M1040" s="1501"/>
      <c r="N1040" s="1501"/>
      <c r="O1040" s="1501"/>
      <c r="P1040" s="1501"/>
      <c r="Q1040" s="1501"/>
      <c r="R1040" s="1501"/>
      <c r="S1040" s="1501"/>
      <c r="T1040" s="1501"/>
      <c r="U1040" s="1501"/>
      <c r="V1040" s="1501"/>
      <c r="W1040" s="1501"/>
      <c r="X1040" s="1501"/>
      <c r="Y1040" s="1501"/>
      <c r="Z1040" s="1501"/>
      <c r="AA1040" s="1501"/>
      <c r="AB1040" s="1501"/>
      <c r="AC1040" s="1501"/>
      <c r="AD1040" s="1501"/>
      <c r="AE1040" s="1502"/>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c r="BA1040" t="b">
        <f>'Points System'!AJ164="Yes"</f>
        <v>0</v>
      </c>
      <c r="BB1040" s="3" t="s">
        <v>2489</v>
      </c>
    </row>
    <row r="1041" spans="1:56" ht="12.95" customHeight="1">
      <c r="A1041" s="14"/>
      <c r="B1041" s="79"/>
      <c r="C1041" s="131" t="s">
        <v>1008</v>
      </c>
      <c r="D1041" s="1509" t="s">
        <v>1295</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9"/>
      <c r="AG1041" s="1403" t="s">
        <v>668</v>
      </c>
      <c r="AH1041" s="1404"/>
      <c r="AI1041" s="87"/>
      <c r="AJ1041" s="1370">
        <f>ROUND(IF(AG1041="yes",(AJ992*0.1),0),0)</f>
        <v>0</v>
      </c>
      <c r="AK1041" s="1371"/>
      <c r="AL1041" s="1371"/>
      <c r="AM1041" s="1371"/>
      <c r="AN1041" s="1371"/>
      <c r="AO1041" s="1371"/>
      <c r="AP1041" s="1371"/>
      <c r="AQ1041" s="1372"/>
      <c r="AR1041" s="68"/>
      <c r="AS1041" s="68"/>
      <c r="AT1041" s="68"/>
      <c r="AU1041" s="68"/>
      <c r="AV1041" s="68"/>
      <c r="AW1041" s="68"/>
      <c r="AX1041" s="68"/>
      <c r="AY1041" s="68"/>
      <c r="BA1041">
        <f>Q212</f>
        <v>0</v>
      </c>
      <c r="BB1041" s="3" t="s">
        <v>2490</v>
      </c>
    </row>
    <row r="1042" spans="1:56" ht="12.95" customHeight="1">
      <c r="A1042" s="14"/>
      <c r="B1042" s="73"/>
      <c r="C1042" s="74"/>
      <c r="D1042" s="1394" t="s">
        <v>2143</v>
      </c>
      <c r="E1042" s="1395"/>
      <c r="F1042" s="1395"/>
      <c r="G1042" s="1395"/>
      <c r="H1042" s="1395"/>
      <c r="I1042" s="1395"/>
      <c r="J1042" s="1395"/>
      <c r="K1042" s="1395"/>
      <c r="L1042" s="1395"/>
      <c r="M1042" s="1395"/>
      <c r="N1042" s="1395"/>
      <c r="O1042" s="1395"/>
      <c r="P1042" s="1395"/>
      <c r="Q1042" s="1395"/>
      <c r="R1042" s="1395"/>
      <c r="S1042" s="1395"/>
      <c r="T1042" s="1395"/>
      <c r="U1042" s="1395"/>
      <c r="V1042" s="1395"/>
      <c r="W1042" s="1395"/>
      <c r="X1042" s="1395"/>
      <c r="Y1042" s="1395"/>
      <c r="Z1042" s="1395"/>
      <c r="AA1042" s="1395"/>
      <c r="AB1042" s="1395"/>
      <c r="AC1042" s="1395"/>
      <c r="AD1042" s="1395"/>
      <c r="AE1042" s="1396"/>
      <c r="AF1042" s="73"/>
      <c r="AG1042" s="14"/>
      <c r="AH1042" s="14"/>
      <c r="AI1042" s="83"/>
      <c r="AJ1042" s="1373"/>
      <c r="AK1042" s="1374"/>
      <c r="AL1042" s="1374"/>
      <c r="AM1042" s="1374"/>
      <c r="AN1042" s="1374"/>
      <c r="AO1042" s="1374"/>
      <c r="AP1042" s="1374"/>
      <c r="AQ1042" s="1375"/>
      <c r="AR1042" s="68"/>
      <c r="AS1042" s="68"/>
      <c r="AT1042" s="68"/>
      <c r="AU1042" s="68"/>
      <c r="AV1042" s="68"/>
      <c r="AW1042" s="68"/>
      <c r="AX1042" s="68"/>
      <c r="AY1042" s="68"/>
      <c r="BA1042" s="1184">
        <f>T212</f>
        <v>0</v>
      </c>
      <c r="BB1042" s="3" t="s">
        <v>2491</v>
      </c>
    </row>
    <row r="1043" spans="1:56" ht="12.95" customHeight="1">
      <c r="A1043" s="14"/>
      <c r="B1043" s="73"/>
      <c r="C1043" s="74"/>
      <c r="D1043" s="1394"/>
      <c r="E1043" s="1395"/>
      <c r="F1043" s="1395"/>
      <c r="G1043" s="1395"/>
      <c r="H1043" s="1395"/>
      <c r="I1043" s="1395"/>
      <c r="J1043" s="1395"/>
      <c r="K1043" s="1395"/>
      <c r="L1043" s="1395"/>
      <c r="M1043" s="1395"/>
      <c r="N1043" s="1395"/>
      <c r="O1043" s="1395"/>
      <c r="P1043" s="1395"/>
      <c r="Q1043" s="1395"/>
      <c r="R1043" s="1395"/>
      <c r="S1043" s="1395"/>
      <c r="T1043" s="1395"/>
      <c r="U1043" s="1395"/>
      <c r="V1043" s="1395"/>
      <c r="W1043" s="1395"/>
      <c r="X1043" s="1395"/>
      <c r="Y1043" s="1395"/>
      <c r="Z1043" s="1395"/>
      <c r="AA1043" s="1395"/>
      <c r="AB1043" s="1395"/>
      <c r="AC1043" s="1395"/>
      <c r="AD1043" s="1395"/>
      <c r="AE1043" s="1396"/>
      <c r="AF1043" s="73"/>
      <c r="AG1043" s="14"/>
      <c r="AH1043" s="14"/>
      <c r="AI1043" s="83"/>
      <c r="AJ1043" s="1373"/>
      <c r="AK1043" s="1374"/>
      <c r="AL1043" s="1374"/>
      <c r="AM1043" s="1374"/>
      <c r="AN1043" s="1374"/>
      <c r="AO1043" s="1374"/>
      <c r="AP1043" s="1374"/>
      <c r="AQ1043" s="1375"/>
      <c r="AR1043" s="68"/>
      <c r="AS1043" s="68"/>
      <c r="AT1043" s="68"/>
      <c r="AU1043" s="68"/>
      <c r="AV1043" s="68"/>
      <c r="AW1043" s="68"/>
      <c r="AX1043" s="68"/>
      <c r="AY1043" s="68"/>
    </row>
    <row r="1044" spans="1:56" ht="12.95" customHeight="1">
      <c r="A1044" s="14"/>
      <c r="B1044" s="73"/>
      <c r="C1044" s="74"/>
      <c r="D1044" s="1397"/>
      <c r="E1044" s="1398"/>
      <c r="F1044" s="1398"/>
      <c r="G1044" s="1398"/>
      <c r="H1044" s="1398"/>
      <c r="I1044" s="1398"/>
      <c r="J1044" s="1398"/>
      <c r="K1044" s="1398"/>
      <c r="L1044" s="1398"/>
      <c r="M1044" s="1398"/>
      <c r="N1044" s="1398"/>
      <c r="O1044" s="1398"/>
      <c r="P1044" s="1398"/>
      <c r="Q1044" s="1398"/>
      <c r="R1044" s="1398"/>
      <c r="S1044" s="1398"/>
      <c r="T1044" s="1398"/>
      <c r="U1044" s="1398"/>
      <c r="V1044" s="1398"/>
      <c r="W1044" s="1398"/>
      <c r="X1044" s="1398"/>
      <c r="Y1044" s="1398"/>
      <c r="Z1044" s="1398"/>
      <c r="AA1044" s="1398"/>
      <c r="AB1044" s="1398"/>
      <c r="AC1044" s="1398"/>
      <c r="AD1044" s="1398"/>
      <c r="AE1044" s="1399"/>
      <c r="AF1044" s="73"/>
      <c r="AG1044" s="14"/>
      <c r="AH1044" s="14"/>
      <c r="AI1044" s="83"/>
      <c r="AJ1044" s="1376"/>
      <c r="AK1044" s="1377"/>
      <c r="AL1044" s="1377"/>
      <c r="AM1044" s="1377"/>
      <c r="AN1044" s="1377"/>
      <c r="AO1044" s="1377"/>
      <c r="AP1044" s="1377"/>
      <c r="AQ1044" s="1378"/>
      <c r="AR1044" s="68"/>
      <c r="AS1044" s="68"/>
      <c r="AT1044" s="68"/>
      <c r="AU1044" s="68"/>
      <c r="AV1044" s="68"/>
      <c r="AW1044" s="68"/>
      <c r="AX1044" s="68"/>
      <c r="AY1044" s="68"/>
    </row>
    <row r="1045" spans="1:56" ht="12.95" customHeight="1">
      <c r="A1045" s="14"/>
      <c r="B1045" s="79"/>
      <c r="C1045" s="131" t="s">
        <v>1682</v>
      </c>
      <c r="D1045" s="1385" t="s">
        <v>1863</v>
      </c>
      <c r="E1045" s="1386"/>
      <c r="F1045" s="1386"/>
      <c r="G1045" s="1386"/>
      <c r="H1045" s="1386"/>
      <c r="I1045" s="1386"/>
      <c r="J1045" s="1386"/>
      <c r="K1045" s="1386"/>
      <c r="L1045" s="1386"/>
      <c r="M1045" s="1386"/>
      <c r="N1045" s="1386"/>
      <c r="O1045" s="1386"/>
      <c r="P1045" s="1386"/>
      <c r="Q1045" s="1386"/>
      <c r="R1045" s="1386"/>
      <c r="S1045" s="1386"/>
      <c r="T1045" s="1386"/>
      <c r="U1045" s="1386"/>
      <c r="V1045" s="1386"/>
      <c r="W1045" s="1386"/>
      <c r="X1045" s="1386"/>
      <c r="Y1045" s="1386"/>
      <c r="Z1045" s="1386"/>
      <c r="AA1045" s="1386"/>
      <c r="AB1045" s="1386"/>
      <c r="AC1045" s="1386"/>
      <c r="AD1045" s="1386"/>
      <c r="AE1045" s="1387"/>
      <c r="AF1045" s="79"/>
      <c r="AG1045" s="1570" t="str">
        <f>IF(X1048&gt;0,"Yes","No")</f>
        <v>Yes</v>
      </c>
      <c r="AH1045" s="1571"/>
      <c r="AI1045" s="87"/>
      <c r="AJ1045" s="1370">
        <f>IF((X1048=0),0,AY1005*AJ992)</f>
        <v>8133324</v>
      </c>
      <c r="AK1045" s="1371"/>
      <c r="AL1045" s="1371"/>
      <c r="AM1045" s="1371"/>
      <c r="AN1045" s="1371"/>
      <c r="AO1045" s="1371"/>
      <c r="AP1045" s="1371"/>
      <c r="AQ1045" s="137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394" t="s">
        <v>1297</v>
      </c>
      <c r="E1046" s="1395"/>
      <c r="F1046" s="1395"/>
      <c r="G1046" s="1395"/>
      <c r="H1046" s="1395"/>
      <c r="I1046" s="1395"/>
      <c r="J1046" s="1395"/>
      <c r="K1046" s="1395"/>
      <c r="L1046" s="1395"/>
      <c r="M1046" s="1395"/>
      <c r="N1046" s="1395"/>
      <c r="O1046" s="1395"/>
      <c r="P1046" s="1395"/>
      <c r="Q1046" s="1395"/>
      <c r="R1046" s="1395"/>
      <c r="S1046" s="1395"/>
      <c r="T1046" s="1395"/>
      <c r="U1046" s="1395"/>
      <c r="V1046" s="1395"/>
      <c r="W1046" s="1395"/>
      <c r="X1046" s="1395"/>
      <c r="Y1046" s="1395"/>
      <c r="Z1046" s="1395"/>
      <c r="AA1046" s="1395"/>
      <c r="AB1046" s="1395"/>
      <c r="AC1046" s="1395"/>
      <c r="AD1046" s="1395"/>
      <c r="AE1046" s="1396"/>
      <c r="AF1046" s="73"/>
      <c r="AG1046" s="443"/>
      <c r="AH1046" s="443"/>
      <c r="AI1046" s="83"/>
      <c r="AJ1046" s="1373"/>
      <c r="AK1046" s="1374"/>
      <c r="AL1046" s="1374"/>
      <c r="AM1046" s="1374"/>
      <c r="AN1046" s="1374"/>
      <c r="AO1046" s="1374"/>
      <c r="AP1046" s="1374"/>
      <c r="AQ1046" s="1375"/>
      <c r="AR1046" s="68"/>
      <c r="AS1046" s="68"/>
      <c r="AT1046" s="68"/>
      <c r="AU1046" s="13"/>
      <c r="AV1046" s="68"/>
      <c r="AW1046" s="68"/>
      <c r="AX1046" s="68"/>
      <c r="AY1046" s="68"/>
      <c r="AZ1046" s="962">
        <f>'Sources and Uses Budget'!S97*BA1046</f>
        <v>7140859.6499999994</v>
      </c>
      <c r="BA1046" s="1182">
        <f>IF(BA1040,20%,15%)</f>
        <v>0.15</v>
      </c>
      <c r="BB1046" s="3" t="s">
        <v>2478</v>
      </c>
      <c r="BC1046" s="3" t="s">
        <v>2479</v>
      </c>
      <c r="BD1046" s="3"/>
    </row>
    <row r="1047" spans="1:56" ht="12.95" customHeight="1">
      <c r="A1047" s="14"/>
      <c r="B1047" s="73"/>
      <c r="C1047" s="442"/>
      <c r="D1047" s="1394"/>
      <c r="E1047" s="1395"/>
      <c r="F1047" s="1395"/>
      <c r="G1047" s="1395"/>
      <c r="H1047" s="1395"/>
      <c r="I1047" s="1395"/>
      <c r="J1047" s="1395"/>
      <c r="K1047" s="1395"/>
      <c r="L1047" s="1395"/>
      <c r="M1047" s="1395"/>
      <c r="N1047" s="1395"/>
      <c r="O1047" s="1395"/>
      <c r="P1047" s="1395"/>
      <c r="Q1047" s="1395"/>
      <c r="R1047" s="1395"/>
      <c r="S1047" s="1395"/>
      <c r="T1047" s="1395"/>
      <c r="U1047" s="1395"/>
      <c r="V1047" s="1395"/>
      <c r="W1047" s="1395"/>
      <c r="X1047" s="1395"/>
      <c r="Y1047" s="1395"/>
      <c r="Z1047" s="1395"/>
      <c r="AA1047" s="1395"/>
      <c r="AB1047" s="1395"/>
      <c r="AC1047" s="1395"/>
      <c r="AD1047" s="1395"/>
      <c r="AE1047" s="1396"/>
      <c r="AF1047" s="73"/>
      <c r="AG1047" s="443"/>
      <c r="AH1047" s="443"/>
      <c r="AI1047" s="83"/>
      <c r="AJ1047" s="1373"/>
      <c r="AK1047" s="1374"/>
      <c r="AL1047" s="1374"/>
      <c r="AM1047" s="1374"/>
      <c r="AN1047" s="1374"/>
      <c r="AO1047" s="1374"/>
      <c r="AP1047" s="1374"/>
      <c r="AQ1047" s="1375"/>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970</v>
      </c>
      <c r="E1048" s="133"/>
      <c r="F1048" s="133"/>
      <c r="G1048" s="133"/>
      <c r="H1048" s="133"/>
      <c r="I1048" s="1568">
        <f>AY1003</f>
        <v>127</v>
      </c>
      <c r="J1048" s="1569"/>
      <c r="K1048" s="7"/>
      <c r="L1048" s="133"/>
      <c r="M1048" s="133"/>
      <c r="N1048" s="133"/>
      <c r="O1048" s="133"/>
      <c r="P1048" s="133"/>
      <c r="Q1048" s="133"/>
      <c r="R1048" s="133"/>
      <c r="S1048" s="133"/>
      <c r="T1048" s="133"/>
      <c r="U1048" s="133"/>
      <c r="V1048" s="134" t="s">
        <v>971</v>
      </c>
      <c r="W1048" s="48"/>
      <c r="X1048" s="1566">
        <f>CI753</f>
        <v>13</v>
      </c>
      <c r="Y1048" s="1567"/>
      <c r="Z1048" s="48"/>
      <c r="AA1048" s="48"/>
      <c r="AB1048" s="48"/>
      <c r="AC1048" s="48"/>
      <c r="AD1048" s="48"/>
      <c r="AE1048" s="49"/>
      <c r="AF1048" s="924"/>
      <c r="AG1048" s="925"/>
      <c r="AH1048" s="925"/>
      <c r="AI1048" s="926"/>
      <c r="AJ1048" s="1376"/>
      <c r="AK1048" s="1377"/>
      <c r="AL1048" s="1377"/>
      <c r="AM1048" s="1377"/>
      <c r="AN1048" s="1377"/>
      <c r="AO1048" s="1377"/>
      <c r="AP1048" s="1377"/>
      <c r="AQ1048" s="1378"/>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1683</v>
      </c>
      <c r="D1049" s="1509" t="s">
        <v>2169</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1570" t="str">
        <f>IF(X1052&gt;0,"Yes","No")</f>
        <v>Yes</v>
      </c>
      <c r="AH1049" s="1571"/>
      <c r="AI1049" s="83"/>
      <c r="AJ1049" s="1370">
        <f>IF((X1052=0),0,(2*AY1006)*AJ992)</f>
        <v>16266648</v>
      </c>
      <c r="AK1049" s="1371"/>
      <c r="AL1049" s="1371"/>
      <c r="AM1049" s="1371"/>
      <c r="AN1049" s="1371"/>
      <c r="AO1049" s="1371"/>
      <c r="AP1049" s="1371"/>
      <c r="AQ1049" s="1372"/>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394" t="s">
        <v>1296</v>
      </c>
      <c r="E1050" s="1395"/>
      <c r="F1050" s="1395"/>
      <c r="G1050" s="1395"/>
      <c r="H1050" s="1395"/>
      <c r="I1050" s="1395"/>
      <c r="J1050" s="1395"/>
      <c r="K1050" s="1395"/>
      <c r="L1050" s="1395"/>
      <c r="M1050" s="1395"/>
      <c r="N1050" s="1395"/>
      <c r="O1050" s="1395"/>
      <c r="P1050" s="1395"/>
      <c r="Q1050" s="1395"/>
      <c r="R1050" s="1395"/>
      <c r="S1050" s="1395"/>
      <c r="T1050" s="1395"/>
      <c r="U1050" s="1395"/>
      <c r="V1050" s="1395"/>
      <c r="W1050" s="1395"/>
      <c r="X1050" s="1395"/>
      <c r="Y1050" s="1395"/>
      <c r="Z1050" s="1395"/>
      <c r="AA1050" s="1395"/>
      <c r="AB1050" s="1395"/>
      <c r="AC1050" s="1395"/>
      <c r="AD1050" s="1395"/>
      <c r="AE1050" s="1396"/>
      <c r="AF1050" s="73"/>
      <c r="AG1050" s="443"/>
      <c r="AH1050" s="443"/>
      <c r="AI1050" s="83"/>
      <c r="AJ1050" s="1373"/>
      <c r="AK1050" s="1374"/>
      <c r="AL1050" s="1374"/>
      <c r="AM1050" s="1374"/>
      <c r="AN1050" s="1374"/>
      <c r="AO1050" s="1374"/>
      <c r="AP1050" s="1374"/>
      <c r="AQ1050" s="1375"/>
      <c r="AR1050" s="68"/>
      <c r="AS1050" s="68"/>
      <c r="AT1050" s="68"/>
      <c r="AU1050" s="68"/>
      <c r="AV1050" s="68"/>
      <c r="AW1050" s="68"/>
      <c r="AX1050" s="68"/>
      <c r="AY1050" s="68"/>
      <c r="AZ1050" s="962"/>
      <c r="BA1050" s="3"/>
      <c r="BB1050" s="3"/>
      <c r="BC1050" s="3"/>
      <c r="BD1050" s="3"/>
    </row>
    <row r="1051" spans="1:56" ht="12.95" customHeight="1">
      <c r="A1051" s="14"/>
      <c r="B1051" s="73"/>
      <c r="C1051" s="83"/>
      <c r="D1051" s="1394"/>
      <c r="E1051" s="1395"/>
      <c r="F1051" s="1395"/>
      <c r="G1051" s="1395"/>
      <c r="H1051" s="1395"/>
      <c r="I1051" s="1395"/>
      <c r="J1051" s="1395"/>
      <c r="K1051" s="1395"/>
      <c r="L1051" s="1395"/>
      <c r="M1051" s="1395"/>
      <c r="N1051" s="1395"/>
      <c r="O1051" s="1395"/>
      <c r="P1051" s="1395"/>
      <c r="Q1051" s="1395"/>
      <c r="R1051" s="1395"/>
      <c r="S1051" s="1395"/>
      <c r="T1051" s="1395"/>
      <c r="U1051" s="1395"/>
      <c r="V1051" s="1395"/>
      <c r="W1051" s="1395"/>
      <c r="X1051" s="1395"/>
      <c r="Y1051" s="1395"/>
      <c r="Z1051" s="1395"/>
      <c r="AA1051" s="1395"/>
      <c r="AB1051" s="1395"/>
      <c r="AC1051" s="1395"/>
      <c r="AD1051" s="1395"/>
      <c r="AE1051" s="1396"/>
      <c r="AF1051" s="921"/>
      <c r="AG1051" s="922"/>
      <c r="AH1051" s="922"/>
      <c r="AI1051" s="923"/>
      <c r="AJ1051" s="1373"/>
      <c r="AK1051" s="1374"/>
      <c r="AL1051" s="1374"/>
      <c r="AM1051" s="1374"/>
      <c r="AN1051" s="1374"/>
      <c r="AO1051" s="1374"/>
      <c r="AP1051" s="1374"/>
      <c r="AQ1051" s="1375"/>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568">
        <f>AY1003</f>
        <v>127</v>
      </c>
      <c r="J1052" s="1569"/>
      <c r="K1052" s="14"/>
      <c r="L1052" s="133"/>
      <c r="M1052" s="133"/>
      <c r="N1052" s="133"/>
      <c r="O1052" s="133"/>
      <c r="P1052" s="133"/>
      <c r="Q1052" s="133"/>
      <c r="R1052" s="133"/>
      <c r="S1052" s="133"/>
      <c r="T1052" s="133"/>
      <c r="U1052" s="133"/>
      <c r="V1052" s="134" t="s">
        <v>972</v>
      </c>
      <c r="X1052" s="1566">
        <f>CM753</f>
        <v>13</v>
      </c>
      <c r="Y1052" s="1567"/>
      <c r="AF1052" s="924"/>
      <c r="AG1052" s="925"/>
      <c r="AH1052" s="925"/>
      <c r="AI1052" s="926"/>
      <c r="AJ1052" s="1376"/>
      <c r="AK1052" s="1377"/>
      <c r="AL1052" s="1377"/>
      <c r="AM1052" s="1377"/>
      <c r="AN1052" s="1377"/>
      <c r="AO1052" s="1377"/>
      <c r="AP1052" s="1377"/>
      <c r="AQ1052" s="1378"/>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4" t="s">
        <v>512</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8">
        <f>SUM(AJ992:AQ1052)</f>
        <v>130133184</v>
      </c>
      <c r="AK1053" s="1579"/>
      <c r="AL1053" s="1579"/>
      <c r="AM1053" s="1579"/>
      <c r="AN1053" s="1579"/>
      <c r="AO1053" s="1579"/>
      <c r="AP1053" s="1579"/>
      <c r="AQ1053" s="1580"/>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54746591</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7140859.6499999994</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0.47388828970787344</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7140860</v>
      </c>
      <c r="BB1058" s="3" t="s">
        <v>2493</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4640860</v>
      </c>
      <c r="BB1059" s="3" t="s">
        <v>2494</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56" t="s">
        <v>793</v>
      </c>
      <c r="B1061" s="1356"/>
      <c r="C1061" s="1356"/>
      <c r="D1061" s="1356"/>
      <c r="E1061" s="1356"/>
      <c r="F1061" s="1356"/>
      <c r="G1061" s="1356"/>
      <c r="H1061" s="1356"/>
      <c r="I1061" s="1356"/>
      <c r="J1061" s="1356"/>
      <c r="K1061" s="1356"/>
      <c r="L1061" s="1356"/>
      <c r="M1061" s="1356"/>
      <c r="N1061" s="1356"/>
      <c r="O1061" s="1356"/>
      <c r="P1061" s="1356"/>
      <c r="Q1061" s="1356"/>
      <c r="R1061" s="1356"/>
      <c r="S1061" s="1356"/>
      <c r="T1061" s="1356"/>
      <c r="U1061" s="1356"/>
      <c r="V1061" s="1356"/>
      <c r="W1061" s="1356"/>
      <c r="X1061" s="1356"/>
      <c r="Y1061" s="1356"/>
      <c r="Z1061" s="1356"/>
      <c r="AA1061" s="1356"/>
      <c r="AB1061" s="1356"/>
      <c r="AC1061" s="1356"/>
      <c r="AD1061" s="1356"/>
      <c r="AE1061" s="1356"/>
      <c r="AF1061" s="1356"/>
      <c r="AG1061" s="1356"/>
      <c r="AH1061" s="1356"/>
      <c r="AI1061" s="1356"/>
      <c r="AJ1061" s="1356"/>
      <c r="AK1061" s="1356"/>
      <c r="AL1061" s="1356"/>
      <c r="AM1061" s="1356"/>
      <c r="AN1061" s="1356"/>
      <c r="AO1061" s="1356"/>
      <c r="AP1061" s="1356"/>
      <c r="AQ1061" s="135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590</v>
      </c>
      <c r="B1065" s="1333"/>
      <c r="C1065" s="1334">
        <v>1</v>
      </c>
      <c r="D1065" s="133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590</v>
      </c>
      <c r="B1067" s="1333"/>
      <c r="C1067" s="1334">
        <v>2</v>
      </c>
      <c r="D1067" s="1334"/>
      <c r="E1067" s="1337" t="s">
        <v>2237</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590</v>
      </c>
      <c r="B1070" s="1333"/>
      <c r="C1070" s="1336">
        <v>3</v>
      </c>
      <c r="D1070" s="1336"/>
      <c r="E1070" s="1293" t="s">
        <v>1078</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590</v>
      </c>
      <c r="B1075" s="1333"/>
      <c r="C1075" s="1336">
        <v>4</v>
      </c>
      <c r="D1075" s="1336"/>
      <c r="E1075" s="1293" t="s">
        <v>1077</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590</v>
      </c>
      <c r="B1081" s="1333"/>
      <c r="C1081" s="1336">
        <v>5</v>
      </c>
      <c r="D1081" s="1336"/>
      <c r="E1081" s="1293" t="s">
        <v>2241</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590</v>
      </c>
      <c r="B1085" s="1333"/>
      <c r="C1085" s="1336">
        <v>6</v>
      </c>
      <c r="D1085" s="1336"/>
      <c r="E1085" s="1293" t="s">
        <v>2242</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590</v>
      </c>
      <c r="B1089" s="1333"/>
      <c r="C1089" s="1336">
        <v>7</v>
      </c>
      <c r="D1089" s="1336"/>
      <c r="E1089" s="1293" t="s">
        <v>2137</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590</v>
      </c>
      <c r="B1094" s="1333"/>
      <c r="C1094" s="1336">
        <v>8</v>
      </c>
      <c r="D1094" s="1336"/>
      <c r="E1094" s="1293" t="s">
        <v>1071</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590</v>
      </c>
      <c r="B1097" s="1333"/>
      <c r="C1097" s="1334">
        <v>9</v>
      </c>
      <c r="D1097" s="1334"/>
      <c r="E1097" s="1293" t="s">
        <v>1073</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590</v>
      </c>
      <c r="B1100" s="1333"/>
      <c r="C1100" s="1334">
        <v>10</v>
      </c>
      <c r="D1100" s="1334"/>
      <c r="E1100" s="1335" t="s">
        <v>2238</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590</v>
      </c>
      <c r="B1103" s="1333"/>
      <c r="C1103" s="1334">
        <v>11</v>
      </c>
      <c r="D1103" s="1334"/>
      <c r="E1103" s="1335" t="s">
        <v>2240</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590</v>
      </c>
      <c r="B1125" s="1333"/>
      <c r="C1125" s="199">
        <v>9</v>
      </c>
      <c r="D1125" s="1263" t="s">
        <v>1072</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4:ES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E790:DI790"/>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CP736:CT736"/>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CU751:CY751"/>
    <mergeCell ref="CU776:CY776"/>
    <mergeCell ref="CP750:CT750"/>
    <mergeCell ref="CU750:CY750"/>
    <mergeCell ref="J779:K779"/>
    <mergeCell ref="J787:N787"/>
    <mergeCell ref="CP751:CT751"/>
    <mergeCell ref="CM751:CN751"/>
    <mergeCell ref="G734:J734"/>
    <mergeCell ref="X740:AB740"/>
    <mergeCell ref="X748:AB748"/>
    <mergeCell ref="X749:AB749"/>
    <mergeCell ref="X750:AB750"/>
    <mergeCell ref="AC749:AG749"/>
    <mergeCell ref="CG752:CH752"/>
    <mergeCell ref="DE752:DI752"/>
    <mergeCell ref="K731:N731"/>
    <mergeCell ref="O769:S772"/>
    <mergeCell ref="CI735:CJ735"/>
    <mergeCell ref="CP733:CT73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J747:DN747"/>
    <mergeCell ref="DO747:DS747"/>
    <mergeCell ref="CI748:CJ748"/>
    <mergeCell ref="CI742:CJ742"/>
    <mergeCell ref="CK742:CL742"/>
    <mergeCell ref="CI749:CJ749"/>
    <mergeCell ref="CK749:CL749"/>
    <mergeCell ref="CM749:CN749"/>
    <mergeCell ref="CP749:CT749"/>
    <mergeCell ref="CU749:CY749"/>
    <mergeCell ref="CZ749:DD749"/>
    <mergeCell ref="DE749:DI749"/>
    <mergeCell ref="DJ749:DN749"/>
    <mergeCell ref="DO749:DS749"/>
    <mergeCell ref="CZ750:DD750"/>
    <mergeCell ref="CI743:CJ743"/>
    <mergeCell ref="CK743:CL743"/>
    <mergeCell ref="CM743:CN743"/>
    <mergeCell ref="DE746:DI746"/>
    <mergeCell ref="CP748:CT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J742:DN742"/>
    <mergeCell ref="DO742:DS742"/>
    <mergeCell ref="CU743:CY743"/>
    <mergeCell ref="CZ743:DD743"/>
    <mergeCell ref="DE743:DI743"/>
    <mergeCell ref="FJ753:FN753"/>
    <mergeCell ref="FT741:FX741"/>
    <mergeCell ref="ET719:EX719"/>
    <mergeCell ref="DE742:DI742"/>
    <mergeCell ref="ET749:EX749"/>
    <mergeCell ref="DU750:DY750"/>
    <mergeCell ref="EE750:EI750"/>
    <mergeCell ref="EJ750:EN750"/>
    <mergeCell ref="EO750:ES750"/>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FY742:GC742"/>
    <mergeCell ref="EZ743:FD743"/>
    <mergeCell ref="FT750:FX750"/>
    <mergeCell ref="EE749:EI749"/>
    <mergeCell ref="EJ749:EN749"/>
    <mergeCell ref="EO749:ES749"/>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Y747:GC747"/>
    <mergeCell ref="EZ748:FD748"/>
    <mergeCell ref="FJ746:FN746"/>
    <mergeCell ref="FO746:FS746"/>
    <mergeCell ref="FT748:FX748"/>
    <mergeCell ref="FT749:FX749"/>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E743:FI743"/>
    <mergeCell ref="H573:R573"/>
    <mergeCell ref="B566:AL566"/>
    <mergeCell ref="AE560:AH560"/>
    <mergeCell ref="N575:O575"/>
    <mergeCell ref="AH513:AK513"/>
    <mergeCell ref="AC531:AF531"/>
    <mergeCell ref="AC539:AF539"/>
    <mergeCell ref="L508:AB508"/>
    <mergeCell ref="N583:O583"/>
    <mergeCell ref="EE747:EI747"/>
    <mergeCell ref="EJ747:EN747"/>
    <mergeCell ref="EE742:EI742"/>
    <mergeCell ref="EJ742:EN742"/>
    <mergeCell ref="EO742:ES742"/>
    <mergeCell ref="T562:V562"/>
    <mergeCell ref="T554:V554"/>
    <mergeCell ref="AC524:AF524"/>
    <mergeCell ref="M555:P555"/>
    <mergeCell ref="C555:L555"/>
    <mergeCell ref="C556:L556"/>
    <mergeCell ref="M556:P556"/>
    <mergeCell ref="C559:L559"/>
    <mergeCell ref="AC528:AF528"/>
    <mergeCell ref="C554:L554"/>
    <mergeCell ref="AC541:AF541"/>
    <mergeCell ref="W557:Y557"/>
    <mergeCell ref="Z555:AD555"/>
    <mergeCell ref="O535:AA535"/>
    <mergeCell ref="AE554:AH554"/>
    <mergeCell ref="DJ741:DN741"/>
    <mergeCell ref="DO741:DS741"/>
    <mergeCell ref="AE557:AH557"/>
    <mergeCell ref="FT742:FX742"/>
    <mergeCell ref="CK748:CL748"/>
    <mergeCell ref="CM748:CN748"/>
    <mergeCell ref="EW636:FA636"/>
    <mergeCell ref="ER637:EV637"/>
    <mergeCell ref="CK744:CL744"/>
    <mergeCell ref="CM744:CN744"/>
    <mergeCell ref="CK739:CL739"/>
    <mergeCell ref="CI741:CJ741"/>
    <mergeCell ref="CZ729:DD729"/>
    <mergeCell ref="CP720:CT720"/>
    <mergeCell ref="CU720:CY720"/>
    <mergeCell ref="CU723:CY723"/>
    <mergeCell ref="DE727:DI727"/>
    <mergeCell ref="CZ741:DD741"/>
    <mergeCell ref="CU733:CY733"/>
    <mergeCell ref="CZ740:DD740"/>
    <mergeCell ref="CU741:CY741"/>
    <mergeCell ref="CZ739:DD739"/>
    <mergeCell ref="DJ733:DN733"/>
    <mergeCell ref="DJ727:DN727"/>
    <mergeCell ref="DJ726:DN726"/>
    <mergeCell ref="CP730:CT730"/>
    <mergeCell ref="CU731:CY731"/>
    <mergeCell ref="DE732:DI732"/>
    <mergeCell ref="CM732:CN732"/>
    <mergeCell ref="DJ725:DN725"/>
    <mergeCell ref="DE725:DI725"/>
    <mergeCell ref="CP726:CT726"/>
    <mergeCell ref="DE729:DI729"/>
    <mergeCell ref="DE726:DI726"/>
    <mergeCell ref="CZ724:DD724"/>
    <mergeCell ref="Q494:AK494"/>
    <mergeCell ref="AC455:AF455"/>
    <mergeCell ref="F457:AB458"/>
    <mergeCell ref="D466:V466"/>
    <mergeCell ref="Q491:AK491"/>
    <mergeCell ref="AH495:AK495"/>
    <mergeCell ref="D465:V465"/>
    <mergeCell ref="AC509:AF509"/>
    <mergeCell ref="Q485:AK485"/>
    <mergeCell ref="AC525:AF525"/>
    <mergeCell ref="W474:Y474"/>
    <mergeCell ref="D472:V472"/>
    <mergeCell ref="W472:Y472"/>
    <mergeCell ref="AE551:AH553"/>
    <mergeCell ref="AI551:AL553"/>
    <mergeCell ref="AH510:AK510"/>
    <mergeCell ref="AC526:AF526"/>
    <mergeCell ref="B514:H516"/>
    <mergeCell ref="W465:Y465"/>
    <mergeCell ref="AH503:AK503"/>
    <mergeCell ref="AC500:AF500"/>
    <mergeCell ref="AH532:AK532"/>
    <mergeCell ref="AC522:AF522"/>
    <mergeCell ref="AH515:AK515"/>
    <mergeCell ref="AC516:AF516"/>
    <mergeCell ref="AC503:AF503"/>
    <mergeCell ref="AC513:AF513"/>
    <mergeCell ref="AC518:AF518"/>
    <mergeCell ref="AH504:AK504"/>
    <mergeCell ref="AH517:AK517"/>
    <mergeCell ref="W471:Y471"/>
    <mergeCell ref="AH527:AK527"/>
    <mergeCell ref="AC517:AF517"/>
    <mergeCell ref="Z559:AD559"/>
    <mergeCell ref="Z551:AD553"/>
    <mergeCell ref="AC520:AF520"/>
    <mergeCell ref="AC527:AF527"/>
    <mergeCell ref="AH524:AK524"/>
    <mergeCell ref="AH525:AK525"/>
    <mergeCell ref="AC533:AF533"/>
    <mergeCell ref="O532:AA532"/>
    <mergeCell ref="M551:P553"/>
    <mergeCell ref="AC536:AF536"/>
    <mergeCell ref="Q558:S558"/>
    <mergeCell ref="M557:P557"/>
    <mergeCell ref="O526:AA526"/>
    <mergeCell ref="AC529:AF529"/>
    <mergeCell ref="AH530:AK530"/>
    <mergeCell ref="Z556:AD556"/>
    <mergeCell ref="AI555:AL555"/>
    <mergeCell ref="T558:V558"/>
    <mergeCell ref="AC538:AF538"/>
    <mergeCell ref="AH538:AK53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Z628:AB628"/>
    <mergeCell ref="AH529:AK529"/>
    <mergeCell ref="AH534:AK534"/>
    <mergeCell ref="AH522:AK522"/>
    <mergeCell ref="Z557:AD557"/>
    <mergeCell ref="CP744:CT744"/>
    <mergeCell ref="CM742:CN742"/>
    <mergeCell ref="CP746:CT746"/>
    <mergeCell ref="CK733:CL733"/>
    <mergeCell ref="AK732:AO732"/>
    <mergeCell ref="AK733:AO733"/>
    <mergeCell ref="AK734:AO734"/>
    <mergeCell ref="AK735:AO735"/>
    <mergeCell ref="CP740:CT740"/>
    <mergeCell ref="CM731:CN731"/>
    <mergeCell ref="AI560:AL560"/>
    <mergeCell ref="T561:V561"/>
    <mergeCell ref="Z610:AK610"/>
    <mergeCell ref="CK752:CL752"/>
    <mergeCell ref="CP747:CT747"/>
    <mergeCell ref="M495:P495"/>
    <mergeCell ref="AC501:AF501"/>
    <mergeCell ref="AG438:AJ438"/>
    <mergeCell ref="B501:H502"/>
    <mergeCell ref="O523:AA523"/>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C510:AF510"/>
    <mergeCell ref="AG439:AJ439"/>
    <mergeCell ref="AC505:AF505"/>
    <mergeCell ref="D468:V468"/>
    <mergeCell ref="AC512:AF512"/>
    <mergeCell ref="AC542:AF542"/>
    <mergeCell ref="Z562:AD562"/>
    <mergeCell ref="Q555:S555"/>
    <mergeCell ref="AH539:AK539"/>
    <mergeCell ref="AH541:AK541"/>
    <mergeCell ref="AC535:AF535"/>
    <mergeCell ref="AI554:AL554"/>
    <mergeCell ref="K714:N717"/>
    <mergeCell ref="AM560:AS560"/>
    <mergeCell ref="AM557:AS557"/>
    <mergeCell ref="W630:Y630"/>
    <mergeCell ref="AH745:AJ745"/>
    <mergeCell ref="AH746:AJ746"/>
    <mergeCell ref="AH747:AJ747"/>
    <mergeCell ref="AH748:AJ748"/>
    <mergeCell ref="Z659:AK659"/>
    <mergeCell ref="CG734:CH734"/>
    <mergeCell ref="CM738:CN738"/>
    <mergeCell ref="AK634:AN634"/>
    <mergeCell ref="AK635:AN635"/>
    <mergeCell ref="Z633:AB633"/>
    <mergeCell ref="AI679:AK679"/>
    <mergeCell ref="Z663:AE663"/>
    <mergeCell ref="Z643:AK643"/>
    <mergeCell ref="CG748:CH748"/>
    <mergeCell ref="X746:AB746"/>
    <mergeCell ref="CK746:CL746"/>
    <mergeCell ref="CM746:CN746"/>
    <mergeCell ref="CG739:CH739"/>
    <mergeCell ref="CG740:CH740"/>
    <mergeCell ref="CK737:CL737"/>
    <mergeCell ref="CG732:CH732"/>
    <mergeCell ref="CI722:CJ722"/>
    <mergeCell ref="AI605:AK605"/>
    <mergeCell ref="W638:Y638"/>
    <mergeCell ref="AK747:AO747"/>
    <mergeCell ref="W561:Y561"/>
    <mergeCell ref="AK742:AO742"/>
    <mergeCell ref="X742:AB742"/>
    <mergeCell ref="AG437:AJ437"/>
    <mergeCell ref="J388:U388"/>
    <mergeCell ref="AG449:AJ449"/>
    <mergeCell ref="C558:L558"/>
    <mergeCell ref="AC507:AF507"/>
    <mergeCell ref="AC454:AF454"/>
    <mergeCell ref="B551:L553"/>
    <mergeCell ref="D470:V470"/>
    <mergeCell ref="D438:AF438"/>
    <mergeCell ref="AC456:AF456"/>
    <mergeCell ref="Q493:AK493"/>
    <mergeCell ref="AC502:AF502"/>
    <mergeCell ref="O529:AA529"/>
    <mergeCell ref="B489:P490"/>
    <mergeCell ref="AC506:AF506"/>
    <mergeCell ref="Q489:R490"/>
    <mergeCell ref="Q488:AK488"/>
    <mergeCell ref="AH535:AK535"/>
    <mergeCell ref="AC532:AF532"/>
    <mergeCell ref="O520:AA520"/>
    <mergeCell ref="AG450:AJ450"/>
    <mergeCell ref="D467:V467"/>
    <mergeCell ref="Z554:AD554"/>
    <mergeCell ref="AH531:AK531"/>
    <mergeCell ref="AH540:AK540"/>
    <mergeCell ref="AC515:AF515"/>
    <mergeCell ref="AC514:AF514"/>
    <mergeCell ref="AI558:AL558"/>
    <mergeCell ref="Q551:S553"/>
    <mergeCell ref="T551:V553"/>
    <mergeCell ref="Q557:S557"/>
    <mergeCell ref="AC521:AF521"/>
    <mergeCell ref="CG749:CH749"/>
    <mergeCell ref="CG724:CH724"/>
    <mergeCell ref="CG730:CH730"/>
    <mergeCell ref="CG728:CH728"/>
    <mergeCell ref="X724:AB724"/>
    <mergeCell ref="CP745:CT745"/>
    <mergeCell ref="AK739:AO739"/>
    <mergeCell ref="B741:F741"/>
    <mergeCell ref="G687:L687"/>
    <mergeCell ref="CZ744:DD744"/>
    <mergeCell ref="CG737:CH737"/>
    <mergeCell ref="CK750:CL750"/>
    <mergeCell ref="CM750:CN750"/>
    <mergeCell ref="CG747:CH747"/>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G727:J727"/>
    <mergeCell ref="A709:AT711"/>
    <mergeCell ref="G686:R686"/>
    <mergeCell ref="B729:F729"/>
    <mergeCell ref="N378:P378"/>
    <mergeCell ref="W418:Y418"/>
    <mergeCell ref="AE424:AF424"/>
    <mergeCell ref="N371:Q371"/>
    <mergeCell ref="V382:W382"/>
    <mergeCell ref="J367:K367"/>
    <mergeCell ref="S405:AJ405"/>
    <mergeCell ref="AG379:AH379"/>
    <mergeCell ref="S392:U392"/>
    <mergeCell ref="AG390:AJ390"/>
    <mergeCell ref="Q391:U391"/>
    <mergeCell ref="N372:Q372"/>
    <mergeCell ref="D448:AF448"/>
    <mergeCell ref="AG445:AJ445"/>
    <mergeCell ref="AG441:AJ441"/>
    <mergeCell ref="D406:AJ407"/>
    <mergeCell ref="D445:AF445"/>
    <mergeCell ref="H414:AE415"/>
    <mergeCell ref="AE425:AF425"/>
    <mergeCell ref="AG394:AJ394"/>
    <mergeCell ref="AE402:AJ402"/>
    <mergeCell ref="AC385:AJ385"/>
    <mergeCell ref="D441:AF441"/>
    <mergeCell ref="AG447:AJ447"/>
    <mergeCell ref="S413:T413"/>
    <mergeCell ref="AC386:AJ386"/>
    <mergeCell ref="K403:AJ403"/>
    <mergeCell ref="V377:W377"/>
    <mergeCell ref="S377:T377"/>
    <mergeCell ref="D437:AF437"/>
    <mergeCell ref="D442:AF442"/>
    <mergeCell ref="AF430:AG430"/>
    <mergeCell ref="AJ355:AK355"/>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6:AE346"/>
    <mergeCell ref="Q390:U390"/>
    <mergeCell ref="I410:AE410"/>
    <mergeCell ref="AI389:AJ389"/>
    <mergeCell ref="P347:Z347"/>
    <mergeCell ref="J386:U386"/>
    <mergeCell ref="T398:AJ398"/>
    <mergeCell ref="S401:U401"/>
    <mergeCell ref="AG401:AJ401"/>
    <mergeCell ref="AC387:AJ387"/>
    <mergeCell ref="V388:AJ388"/>
    <mergeCell ref="Q393:U393"/>
    <mergeCell ref="AG380:AH380"/>
    <mergeCell ref="P349:AE349"/>
    <mergeCell ref="N370:Q370"/>
    <mergeCell ref="P424:Q424"/>
    <mergeCell ref="M356:N356"/>
    <mergeCell ref="P425:Q425"/>
    <mergeCell ref="I418:K418"/>
    <mergeCell ref="J174:AB174"/>
    <mergeCell ref="D211:M211"/>
    <mergeCell ref="AI228:AJ228"/>
    <mergeCell ref="M235:AE235"/>
    <mergeCell ref="W234:X234"/>
    <mergeCell ref="T212:U212"/>
    <mergeCell ref="D204:M204"/>
    <mergeCell ref="M248:AE248"/>
    <mergeCell ref="N191:AE192"/>
    <mergeCell ref="H290:R290"/>
    <mergeCell ref="V276:W276"/>
    <mergeCell ref="L277:AD277"/>
    <mergeCell ref="I184:AE184"/>
    <mergeCell ref="AH505:AK505"/>
    <mergeCell ref="D473:V473"/>
    <mergeCell ref="AC504:AF504"/>
    <mergeCell ref="AJ356:AK356"/>
    <mergeCell ref="AD377:AE377"/>
    <mergeCell ref="AC371:AF371"/>
    <mergeCell ref="Y364:Z364"/>
    <mergeCell ref="M243:AE243"/>
    <mergeCell ref="M238:T238"/>
    <mergeCell ref="T197:U197"/>
    <mergeCell ref="W253:X253"/>
    <mergeCell ref="M252:AE252"/>
    <mergeCell ref="M355:N355"/>
    <mergeCell ref="D439:AF439"/>
    <mergeCell ref="AI397:AJ397"/>
    <mergeCell ref="T399:AJ399"/>
    <mergeCell ref="AI339:AK339"/>
    <mergeCell ref="P348:Z348"/>
    <mergeCell ref="N373:AF374"/>
    <mergeCell ref="A86:AT87"/>
    <mergeCell ref="P299:R299"/>
    <mergeCell ref="H293:R293"/>
    <mergeCell ref="M264:AE264"/>
    <mergeCell ref="AB276:AD276"/>
    <mergeCell ref="Y278:AD278"/>
    <mergeCell ref="AA295:AK295"/>
    <mergeCell ref="AF259:AK259"/>
    <mergeCell ref="AC261:AE261"/>
    <mergeCell ref="M262:AE262"/>
    <mergeCell ref="AA299:AF299"/>
    <mergeCell ref="AI299:AK299"/>
    <mergeCell ref="W261:X261"/>
    <mergeCell ref="U263:W263"/>
    <mergeCell ref="M257:T257"/>
    <mergeCell ref="M256:AE256"/>
    <mergeCell ref="M259:AE259"/>
    <mergeCell ref="AA293:AK293"/>
    <mergeCell ref="L280:AD280"/>
    <mergeCell ref="L275:AD275"/>
    <mergeCell ref="AI291:AK291"/>
    <mergeCell ref="M263:R263"/>
    <mergeCell ref="M265:T265"/>
    <mergeCell ref="H292:M292"/>
    <mergeCell ref="AA292:AF292"/>
    <mergeCell ref="J173:S173"/>
    <mergeCell ref="O155:AH155"/>
    <mergeCell ref="O153:AH153"/>
    <mergeCell ref="O154:AH154"/>
    <mergeCell ref="O156:AH156"/>
    <mergeCell ref="AA249:AK249"/>
    <mergeCell ref="O157:X157"/>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AP205:AQ205"/>
    <mergeCell ref="AI229:AJ229"/>
    <mergeCell ref="U175:V175"/>
    <mergeCell ref="I185:AE185"/>
    <mergeCell ref="U236:W236"/>
    <mergeCell ref="T189:AE189"/>
    <mergeCell ref="R177:S177"/>
    <mergeCell ref="A89:AT90"/>
    <mergeCell ref="A92:AT98"/>
    <mergeCell ref="A100:AT103"/>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F150:T150"/>
    <mergeCell ref="O160:T160"/>
    <mergeCell ref="AI178:AK178"/>
    <mergeCell ref="AH246:AK246"/>
    <mergeCell ref="M237:AE237"/>
    <mergeCell ref="Y120:AK120"/>
    <mergeCell ref="T195:U195"/>
    <mergeCell ref="E187:AE188"/>
    <mergeCell ref="I189:P189"/>
    <mergeCell ref="AH197:AI197"/>
    <mergeCell ref="Z205:AN205"/>
    <mergeCell ref="A222:AT223"/>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C253:AE253"/>
    <mergeCell ref="L276:S276"/>
    <mergeCell ref="L278:Q278"/>
    <mergeCell ref="AA289:AK289"/>
    <mergeCell ref="T200:U200"/>
    <mergeCell ref="X198:AT199"/>
    <mergeCell ref="AH194:AI194"/>
    <mergeCell ref="AC220:AQ220"/>
    <mergeCell ref="D205:M205"/>
    <mergeCell ref="AA306:AK306"/>
    <mergeCell ref="AA303:AK303"/>
    <mergeCell ref="D270:H270"/>
    <mergeCell ref="X270:AC270"/>
    <mergeCell ref="Z263:AE263"/>
    <mergeCell ref="H311:R311"/>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AA308:AF308"/>
    <mergeCell ref="AA336:AK336"/>
    <mergeCell ref="H333:R333"/>
    <mergeCell ref="P345:AE345"/>
    <mergeCell ref="AA324:AF324"/>
    <mergeCell ref="H328:R328"/>
    <mergeCell ref="AI323:AK323"/>
    <mergeCell ref="AA320:AK320"/>
    <mergeCell ref="H317:R317"/>
    <mergeCell ref="P323:R323"/>
    <mergeCell ref="AA315:AF315"/>
    <mergeCell ref="AA323:AF323"/>
    <mergeCell ref="H320:R320"/>
    <mergeCell ref="H296:R296"/>
    <mergeCell ref="H323:M323"/>
    <mergeCell ref="AA330:AK330"/>
    <mergeCell ref="H324:M324"/>
    <mergeCell ref="AA325:AK325"/>
    <mergeCell ref="H315:M315"/>
    <mergeCell ref="H321:R321"/>
    <mergeCell ref="H322:R322"/>
    <mergeCell ref="H330:R330"/>
    <mergeCell ref="H313:R313"/>
    <mergeCell ref="AA322:AK322"/>
    <mergeCell ref="H309:R309"/>
    <mergeCell ref="H297:R297"/>
    <mergeCell ref="AA300:AF300"/>
    <mergeCell ref="AA298:AK298"/>
    <mergeCell ref="AA301:AK301"/>
    <mergeCell ref="AA296:AK296"/>
    <mergeCell ref="H301:R301"/>
    <mergeCell ref="H308:M308"/>
    <mergeCell ref="P307:R307"/>
    <mergeCell ref="H305:R30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M254:AE254"/>
    <mergeCell ref="AA290:AK290"/>
    <mergeCell ref="AH262:AK262"/>
    <mergeCell ref="H314:R314"/>
    <mergeCell ref="H316:M316"/>
    <mergeCell ref="T267:X267"/>
    <mergeCell ref="AA319:AK319"/>
    <mergeCell ref="AA291:AF291"/>
    <mergeCell ref="AA288:AK288"/>
    <mergeCell ref="H287:R287"/>
    <mergeCell ref="U255:W255"/>
    <mergeCell ref="AA311:AK311"/>
    <mergeCell ref="H331:M331"/>
    <mergeCell ref="H341:R341"/>
    <mergeCell ref="H335:R335"/>
    <mergeCell ref="AA333:AK333"/>
    <mergeCell ref="H339:M339"/>
    <mergeCell ref="D469:V469"/>
    <mergeCell ref="W473:Y473"/>
    <mergeCell ref="Q394:U394"/>
    <mergeCell ref="AD412:AE412"/>
    <mergeCell ref="AA341:AK341"/>
    <mergeCell ref="E368:AH369"/>
    <mergeCell ref="Q365:AG365"/>
    <mergeCell ref="H340:M340"/>
    <mergeCell ref="P331:R331"/>
    <mergeCell ref="AG442:AJ442"/>
    <mergeCell ref="H336:R336"/>
    <mergeCell ref="S402:U402"/>
    <mergeCell ref="AA339:AF339"/>
    <mergeCell ref="AC370:AF370"/>
    <mergeCell ref="P339:R339"/>
    <mergeCell ref="AG395:AJ395"/>
    <mergeCell ref="AI392:AJ392"/>
    <mergeCell ref="I421:K421"/>
    <mergeCell ref="P418:R418"/>
    <mergeCell ref="AF418:AH418"/>
    <mergeCell ref="D446:AF446"/>
    <mergeCell ref="D451:AJ452"/>
    <mergeCell ref="R412:S412"/>
    <mergeCell ref="Q429:R429"/>
    <mergeCell ref="H338:R338"/>
    <mergeCell ref="AG393:AJ393"/>
    <mergeCell ref="AG391:AJ391"/>
    <mergeCell ref="G579:R579"/>
    <mergeCell ref="G594:R594"/>
    <mergeCell ref="Z594:AK594"/>
    <mergeCell ref="AH533:AK533"/>
    <mergeCell ref="AH521:AK521"/>
    <mergeCell ref="AC530:AF530"/>
    <mergeCell ref="W468:Y468"/>
    <mergeCell ref="B503:H508"/>
    <mergeCell ref="D450:AF450"/>
    <mergeCell ref="AH523:AK523"/>
    <mergeCell ref="Q487:AK487"/>
    <mergeCell ref="Q486:AK486"/>
    <mergeCell ref="AH502:AK502"/>
    <mergeCell ref="AC499:AK499"/>
    <mergeCell ref="D443:AF443"/>
    <mergeCell ref="AG443:AJ443"/>
    <mergeCell ref="AG444:AJ444"/>
    <mergeCell ref="AH506:AK506"/>
    <mergeCell ref="AH508:AK508"/>
    <mergeCell ref="AC540:AF540"/>
    <mergeCell ref="AC508:AF508"/>
    <mergeCell ref="AH537:AK537"/>
    <mergeCell ref="AC534:AF534"/>
    <mergeCell ref="AH542:AK542"/>
    <mergeCell ref="AH507:AK507"/>
    <mergeCell ref="AE555:AH555"/>
    <mergeCell ref="AH518:AK518"/>
    <mergeCell ref="AH514:AK514"/>
    <mergeCell ref="AH516:AK516"/>
    <mergeCell ref="AE562:AH562"/>
    <mergeCell ref="B517:H519"/>
    <mergeCell ref="B520:H542"/>
    <mergeCell ref="T556:V556"/>
    <mergeCell ref="W551:Y553"/>
    <mergeCell ref="W562:Y562"/>
    <mergeCell ref="AI556:AL556"/>
    <mergeCell ref="T559:V559"/>
    <mergeCell ref="T557:V557"/>
    <mergeCell ref="Q389:U389"/>
    <mergeCell ref="AJ357:AK357"/>
    <mergeCell ref="D444:AF444"/>
    <mergeCell ref="R411:S411"/>
    <mergeCell ref="W556:Y556"/>
    <mergeCell ref="Q556:S556"/>
    <mergeCell ref="M358:N358"/>
    <mergeCell ref="V381:W381"/>
    <mergeCell ref="AH512:AK512"/>
    <mergeCell ref="AH520:AK520"/>
    <mergeCell ref="AC537:AF537"/>
    <mergeCell ref="K404:AJ404"/>
    <mergeCell ref="AG440:AJ440"/>
    <mergeCell ref="AH500:AK500"/>
    <mergeCell ref="Q492:AK492"/>
    <mergeCell ref="S489:AK490"/>
    <mergeCell ref="W470:Y470"/>
    <mergeCell ref="D471:V471"/>
    <mergeCell ref="Z432:AA432"/>
    <mergeCell ref="D447:AF447"/>
    <mergeCell ref="W466:Y466"/>
    <mergeCell ref="AG446:AJ446"/>
    <mergeCell ref="W467:Y467"/>
    <mergeCell ref="D440:AF440"/>
    <mergeCell ref="E420:AJ420"/>
    <mergeCell ref="W469:Y469"/>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G599:AH599"/>
    <mergeCell ref="AF574:AK574"/>
    <mergeCell ref="C561:L561"/>
    <mergeCell ref="W563:Y563"/>
    <mergeCell ref="N599:O599"/>
    <mergeCell ref="AA590:AK590"/>
    <mergeCell ref="AI589:AK589"/>
    <mergeCell ref="Z596:AK596"/>
    <mergeCell ref="H598:R598"/>
    <mergeCell ref="AG583:AH583"/>
    <mergeCell ref="G588:R588"/>
    <mergeCell ref="Z580:AK580"/>
    <mergeCell ref="G589:L589"/>
    <mergeCell ref="G597:L597"/>
    <mergeCell ref="Z569:AK569"/>
    <mergeCell ref="Z585:AK585"/>
    <mergeCell ref="AA582:AK582"/>
    <mergeCell ref="AK628:AN628"/>
    <mergeCell ref="G595:R595"/>
    <mergeCell ref="G580:R580"/>
    <mergeCell ref="G577:R577"/>
    <mergeCell ref="G596:R596"/>
    <mergeCell ref="H614:R614"/>
    <mergeCell ref="G613:L613"/>
    <mergeCell ref="Z577:AK577"/>
    <mergeCell ref="N607:O607"/>
    <mergeCell ref="G593:R593"/>
    <mergeCell ref="Z595:AK595"/>
    <mergeCell ref="G603:R603"/>
    <mergeCell ref="Z813:AE813"/>
    <mergeCell ref="C798:AN799"/>
    <mergeCell ref="AC788:AG788"/>
    <mergeCell ref="G738:J738"/>
    <mergeCell ref="O783:S786"/>
    <mergeCell ref="AK746:AO746"/>
    <mergeCell ref="O735:S735"/>
    <mergeCell ref="T738:W738"/>
    <mergeCell ref="AC791:AG791"/>
    <mergeCell ref="AK750:AO750"/>
    <mergeCell ref="O750:S750"/>
    <mergeCell ref="X741:AB741"/>
    <mergeCell ref="K746:N746"/>
    <mergeCell ref="T744:W744"/>
    <mergeCell ref="K745:N745"/>
    <mergeCell ref="T740:W740"/>
    <mergeCell ref="G741:J741"/>
    <mergeCell ref="K751:N751"/>
    <mergeCell ref="H606:R606"/>
    <mergeCell ref="T747:W747"/>
    <mergeCell ref="AC748:AG748"/>
    <mergeCell ref="K747:N747"/>
    <mergeCell ref="K743:N743"/>
    <mergeCell ref="O743:S743"/>
    <mergeCell ref="T743:W743"/>
    <mergeCell ref="K744:N744"/>
    <mergeCell ref="O744:S744"/>
    <mergeCell ref="X791:AB791"/>
    <mergeCell ref="J788:N788"/>
    <mergeCell ref="Z814:AE814"/>
    <mergeCell ref="Z817:AE817"/>
    <mergeCell ref="M826:P826"/>
    <mergeCell ref="Q825:T825"/>
    <mergeCell ref="O753:S753"/>
    <mergeCell ref="X789:AB789"/>
    <mergeCell ref="O788:S788"/>
    <mergeCell ref="J793:N793"/>
    <mergeCell ref="G752:J752"/>
    <mergeCell ref="Y801:AC801"/>
    <mergeCell ref="Y800:AC800"/>
    <mergeCell ref="AC796:AG796"/>
    <mergeCell ref="C825:H825"/>
    <mergeCell ref="B752:F752"/>
    <mergeCell ref="AC825:AF825"/>
    <mergeCell ref="O776:S776"/>
    <mergeCell ref="O724:S724"/>
    <mergeCell ref="T725:W725"/>
    <mergeCell ref="G724:J724"/>
    <mergeCell ref="M825:P825"/>
    <mergeCell ref="T789:W789"/>
    <mergeCell ref="O795:S795"/>
    <mergeCell ref="T729:W729"/>
    <mergeCell ref="J794:N794"/>
    <mergeCell ref="J789:N789"/>
    <mergeCell ref="X795:AB795"/>
    <mergeCell ref="AH728:AJ728"/>
    <mergeCell ref="O731:S731"/>
    <mergeCell ref="X718:AB718"/>
    <mergeCell ref="O751:S751"/>
    <mergeCell ref="T742:W742"/>
    <mergeCell ref="K737:N737"/>
    <mergeCell ref="O790:S790"/>
    <mergeCell ref="J791:N791"/>
    <mergeCell ref="AH742:AJ742"/>
    <mergeCell ref="AC741:AG741"/>
    <mergeCell ref="AH739:AJ739"/>
    <mergeCell ref="AH740:AJ740"/>
    <mergeCell ref="O745:S745"/>
    <mergeCell ref="T748:W748"/>
    <mergeCell ref="X747:AB747"/>
    <mergeCell ref="O746:S746"/>
    <mergeCell ref="T746:W746"/>
    <mergeCell ref="T722:W722"/>
    <mergeCell ref="X719:AB719"/>
    <mergeCell ref="X722:AB722"/>
    <mergeCell ref="O727:S727"/>
    <mergeCell ref="K724:N724"/>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Q829:T829"/>
    <mergeCell ref="T791:W791"/>
    <mergeCell ref="T787:W787"/>
    <mergeCell ref="W871:AC871"/>
    <mergeCell ref="AC886:AH886"/>
    <mergeCell ref="AA931:AF931"/>
    <mergeCell ref="W869:AC869"/>
    <mergeCell ref="U936:Z936"/>
    <mergeCell ref="AA928:AF928"/>
    <mergeCell ref="AA936:AF936"/>
    <mergeCell ref="U920:Z920"/>
    <mergeCell ref="AA920:AF920"/>
    <mergeCell ref="AA919:AF919"/>
    <mergeCell ref="U925:Z925"/>
    <mergeCell ref="AC888:AH888"/>
    <mergeCell ref="F937:T937"/>
    <mergeCell ref="U937:Z937"/>
    <mergeCell ref="AA937:AF937"/>
    <mergeCell ref="F936:T936"/>
    <mergeCell ref="AA942:AF942"/>
    <mergeCell ref="C892:AB892"/>
    <mergeCell ref="AA930:AF930"/>
    <mergeCell ref="F929:T929"/>
    <mergeCell ref="U933:Z933"/>
    <mergeCell ref="F930:T930"/>
    <mergeCell ref="F931:T931"/>
    <mergeCell ref="BD902:BE902"/>
    <mergeCell ref="BD900:BE900"/>
    <mergeCell ref="BD899:BE899"/>
    <mergeCell ref="BD901:BE901"/>
    <mergeCell ref="U932:Z932"/>
    <mergeCell ref="AA932:AF932"/>
    <mergeCell ref="F938:T938"/>
    <mergeCell ref="BD904:BE904"/>
    <mergeCell ref="BD906:BF906"/>
    <mergeCell ref="W857:AC857"/>
    <mergeCell ref="M874:V874"/>
    <mergeCell ref="W874:AC874"/>
    <mergeCell ref="B730:F730"/>
    <mergeCell ref="G683:R683"/>
    <mergeCell ref="K729:N729"/>
    <mergeCell ref="B718:F718"/>
    <mergeCell ref="G720:J720"/>
    <mergeCell ref="B721:F721"/>
    <mergeCell ref="AH726:AJ726"/>
    <mergeCell ref="O718:S718"/>
    <mergeCell ref="W700:AK700"/>
    <mergeCell ref="Z683:AK683"/>
    <mergeCell ref="AA688:AK688"/>
    <mergeCell ref="K718:N718"/>
    <mergeCell ref="G718:J718"/>
    <mergeCell ref="AA923:AF923"/>
    <mergeCell ref="AB917:AE917"/>
    <mergeCell ref="AA922:AF922"/>
    <mergeCell ref="AA929:AF929"/>
    <mergeCell ref="U930:Z930"/>
    <mergeCell ref="T728:W728"/>
    <mergeCell ref="AC740:AG740"/>
    <mergeCell ref="B733:F733"/>
    <mergeCell ref="B731:F731"/>
    <mergeCell ref="G670:R670"/>
    <mergeCell ref="B735:F735"/>
    <mergeCell ref="B738:F738"/>
    <mergeCell ref="K741:N741"/>
    <mergeCell ref="G739:J739"/>
    <mergeCell ref="T739:W739"/>
    <mergeCell ref="O739:S739"/>
    <mergeCell ref="O736:S736"/>
    <mergeCell ref="K738:N738"/>
    <mergeCell ref="K740:N740"/>
    <mergeCell ref="AC738:AG738"/>
    <mergeCell ref="B740:F740"/>
    <mergeCell ref="B732:F732"/>
    <mergeCell ref="AC742:AG742"/>
    <mergeCell ref="B734:F734"/>
    <mergeCell ref="T741:W741"/>
    <mergeCell ref="AC737:AG737"/>
    <mergeCell ref="B723:F723"/>
    <mergeCell ref="O732:S732"/>
    <mergeCell ref="G737:J737"/>
    <mergeCell ref="G735:J735"/>
    <mergeCell ref="B728:F728"/>
    <mergeCell ref="H688:R688"/>
    <mergeCell ref="AC739:AG739"/>
    <mergeCell ref="X732:AB732"/>
    <mergeCell ref="K734:N734"/>
    <mergeCell ref="O714:S717"/>
    <mergeCell ref="O723:S723"/>
    <mergeCell ref="X723:AB723"/>
    <mergeCell ref="T719:W719"/>
    <mergeCell ref="AK727:AO727"/>
    <mergeCell ref="AH724:AJ724"/>
    <mergeCell ref="CG726:CH726"/>
    <mergeCell ref="B739:F739"/>
    <mergeCell ref="K735:N735"/>
    <mergeCell ref="K736:N736"/>
    <mergeCell ref="G736:J736"/>
    <mergeCell ref="B725:F725"/>
    <mergeCell ref="B724:F724"/>
    <mergeCell ref="B727:F727"/>
    <mergeCell ref="G719:J719"/>
    <mergeCell ref="O729:S729"/>
    <mergeCell ref="O730:S730"/>
    <mergeCell ref="B737:F737"/>
    <mergeCell ref="N657:O657"/>
    <mergeCell ref="Z660:AK660"/>
    <mergeCell ref="G663:L663"/>
    <mergeCell ref="T732:W732"/>
    <mergeCell ref="T731:W731"/>
    <mergeCell ref="AA672:AK672"/>
    <mergeCell ref="Z684:AK684"/>
    <mergeCell ref="G726:J726"/>
    <mergeCell ref="K733:N733"/>
    <mergeCell ref="K730:N730"/>
    <mergeCell ref="T727:W727"/>
    <mergeCell ref="P679:R679"/>
    <mergeCell ref="O726:S726"/>
    <mergeCell ref="G684:R684"/>
    <mergeCell ref="G677:R677"/>
    <mergeCell ref="P663:R663"/>
    <mergeCell ref="X729:AB729"/>
    <mergeCell ref="P687:R687"/>
    <mergeCell ref="CI728:CJ728"/>
    <mergeCell ref="CP725:CT725"/>
    <mergeCell ref="CZ735:DD735"/>
    <mergeCell ref="CU734:CY734"/>
    <mergeCell ref="CM737:CN737"/>
    <mergeCell ref="CK725:CL725"/>
    <mergeCell ref="CG733:CH733"/>
    <mergeCell ref="CI734:CJ734"/>
    <mergeCell ref="CI719:CJ719"/>
    <mergeCell ref="CM739:CN739"/>
    <mergeCell ref="X728:AB728"/>
    <mergeCell ref="O719:S719"/>
    <mergeCell ref="AI655:AK655"/>
    <mergeCell ref="G662:R662"/>
    <mergeCell ref="AG681:AH681"/>
    <mergeCell ref="K725:N725"/>
    <mergeCell ref="X720:AB720"/>
    <mergeCell ref="CM735:CN735"/>
    <mergeCell ref="Z655:AE655"/>
    <mergeCell ref="N689:O689"/>
    <mergeCell ref="CI720:CJ720"/>
    <mergeCell ref="CM722:CN722"/>
    <mergeCell ref="CG722:CH722"/>
    <mergeCell ref="AC736:AG736"/>
    <mergeCell ref="CG729:CH729"/>
    <mergeCell ref="CG723:CH723"/>
    <mergeCell ref="CG720:CH720"/>
    <mergeCell ref="CI723:CJ723"/>
    <mergeCell ref="CM723:CN723"/>
    <mergeCell ref="CI726:CJ726"/>
    <mergeCell ref="CM727:CN727"/>
    <mergeCell ref="CK726:CL726"/>
    <mergeCell ref="DE730:DI730"/>
    <mergeCell ref="CM730:CN730"/>
    <mergeCell ref="CK727:CL727"/>
    <mergeCell ref="CP724:CT724"/>
    <mergeCell ref="CP727:CT727"/>
    <mergeCell ref="CI727:CJ727"/>
    <mergeCell ref="CG727:CH727"/>
    <mergeCell ref="CZ730:DD730"/>
    <mergeCell ref="DE741:DI741"/>
    <mergeCell ref="CZ733:DD733"/>
    <mergeCell ref="CZ736:DD736"/>
    <mergeCell ref="CZ732:DD732"/>
    <mergeCell ref="CP734:CT734"/>
    <mergeCell ref="CZ725:DD725"/>
    <mergeCell ref="CI724:CJ724"/>
    <mergeCell ref="CP732:CT732"/>
    <mergeCell ref="CM729:CN729"/>
    <mergeCell ref="CM725:CN725"/>
    <mergeCell ref="CK730:CL730"/>
    <mergeCell ref="CP731:CT731"/>
    <mergeCell ref="CI729:CJ729"/>
    <mergeCell ref="CP729:CT729"/>
    <mergeCell ref="CK736:CL736"/>
    <mergeCell ref="CM724:CN724"/>
    <mergeCell ref="CU730:CY730"/>
    <mergeCell ref="CK728:CL728"/>
    <mergeCell ref="CZ731:DD731"/>
    <mergeCell ref="CU724:CY724"/>
    <mergeCell ref="CU725:CY725"/>
    <mergeCell ref="CI725:CJ725"/>
    <mergeCell ref="CK734:CL734"/>
    <mergeCell ref="CM734:CN734"/>
    <mergeCell ref="CZ723:DD723"/>
    <mergeCell ref="G678:R678"/>
    <mergeCell ref="AK718:AO718"/>
    <mergeCell ref="Z676:AK676"/>
    <mergeCell ref="K728:N728"/>
    <mergeCell ref="AG689:AH689"/>
    <mergeCell ref="J704:X704"/>
    <mergeCell ref="K720:N720"/>
    <mergeCell ref="T714:W717"/>
    <mergeCell ref="AE696:AI696"/>
    <mergeCell ref="G679:L679"/>
    <mergeCell ref="Z662:AK662"/>
    <mergeCell ref="G644:R644"/>
    <mergeCell ref="P655:R655"/>
    <mergeCell ref="M637:P637"/>
    <mergeCell ref="M638:P638"/>
    <mergeCell ref="Q638:S638"/>
    <mergeCell ref="H648:R648"/>
    <mergeCell ref="C637:L637"/>
    <mergeCell ref="CZ728:DD728"/>
    <mergeCell ref="AC727:AG727"/>
    <mergeCell ref="K719:N719"/>
    <mergeCell ref="O722:S722"/>
    <mergeCell ref="CM720:CN720"/>
    <mergeCell ref="CP728:CT728"/>
    <mergeCell ref="CU728:CY728"/>
    <mergeCell ref="G651:R651"/>
    <mergeCell ref="G652:R652"/>
    <mergeCell ref="AK720:AO720"/>
    <mergeCell ref="AK721:AO721"/>
    <mergeCell ref="CU727:CY727"/>
    <mergeCell ref="AO640:AS640"/>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M554:P554"/>
    <mergeCell ref="AH509:AK509"/>
    <mergeCell ref="T555:V555"/>
    <mergeCell ref="W559:Y559"/>
    <mergeCell ref="Q562:S562"/>
    <mergeCell ref="G568:R568"/>
    <mergeCell ref="M574:R574"/>
    <mergeCell ref="AH501:AK501"/>
    <mergeCell ref="G474:V474"/>
    <mergeCell ref="AH526:AK526"/>
    <mergeCell ref="M561:P561"/>
    <mergeCell ref="AE564:AH564"/>
    <mergeCell ref="G569:R569"/>
    <mergeCell ref="AM558:AS558"/>
    <mergeCell ref="AM566:AS566"/>
    <mergeCell ref="Q632:S632"/>
    <mergeCell ref="AM562:AS562"/>
    <mergeCell ref="Q624:S626"/>
    <mergeCell ref="Z581:AE581"/>
    <mergeCell ref="Z586:AK586"/>
    <mergeCell ref="T563:V563"/>
    <mergeCell ref="Z564:AD564"/>
    <mergeCell ref="Z565:AD565"/>
    <mergeCell ref="Z572:AE572"/>
    <mergeCell ref="AI562:AL562"/>
    <mergeCell ref="Z589:AE589"/>
    <mergeCell ref="G585:R585"/>
    <mergeCell ref="AG575:AH575"/>
    <mergeCell ref="Z568:AK568"/>
    <mergeCell ref="Z571:AK571"/>
    <mergeCell ref="AI564:AL564"/>
    <mergeCell ref="P589:R589"/>
    <mergeCell ref="AK632:AN632"/>
    <mergeCell ref="G601:R601"/>
    <mergeCell ref="P597:R597"/>
    <mergeCell ref="G609:R609"/>
    <mergeCell ref="N615:O615"/>
    <mergeCell ref="M628:P628"/>
    <mergeCell ref="C563:L563"/>
    <mergeCell ref="T630:V630"/>
    <mergeCell ref="T631:V631"/>
    <mergeCell ref="W565:Y565"/>
    <mergeCell ref="AE565:AH565"/>
    <mergeCell ref="G587:R587"/>
    <mergeCell ref="G578:R578"/>
    <mergeCell ref="H590:R590"/>
    <mergeCell ref="T721:W721"/>
    <mergeCell ref="AE695:AI695"/>
    <mergeCell ref="CM721:CN721"/>
    <mergeCell ref="W703:AK703"/>
    <mergeCell ref="AF636:AJ636"/>
    <mergeCell ref="AF637:AJ637"/>
    <mergeCell ref="AF628:AJ628"/>
    <mergeCell ref="AF630:AJ630"/>
    <mergeCell ref="C631:L631"/>
    <mergeCell ref="C632:L632"/>
    <mergeCell ref="AG673:AH673"/>
    <mergeCell ref="G669:R669"/>
    <mergeCell ref="G675:R675"/>
    <mergeCell ref="G685:R685"/>
    <mergeCell ref="AC637:AE637"/>
    <mergeCell ref="G671:L671"/>
    <mergeCell ref="Q636:S636"/>
    <mergeCell ref="Q637:S637"/>
    <mergeCell ref="T637:V637"/>
    <mergeCell ref="Q634:S634"/>
    <mergeCell ref="W636:Y636"/>
    <mergeCell ref="M636:P636"/>
    <mergeCell ref="AA664:AK664"/>
    <mergeCell ref="H664:R664"/>
    <mergeCell ref="AA648:AK648"/>
    <mergeCell ref="AK637:AN637"/>
    <mergeCell ref="P647:R647"/>
    <mergeCell ref="AI647:AK647"/>
    <mergeCell ref="T634:V634"/>
    <mergeCell ref="AF634:AJ634"/>
    <mergeCell ref="W637:Y637"/>
    <mergeCell ref="M627:P627"/>
    <mergeCell ref="M629:P629"/>
    <mergeCell ref="W624:Y626"/>
    <mergeCell ref="W628:Y628"/>
    <mergeCell ref="W631:Y631"/>
    <mergeCell ref="G612:R612"/>
    <mergeCell ref="AO631:AS631"/>
    <mergeCell ref="T638:V638"/>
    <mergeCell ref="T628:V628"/>
    <mergeCell ref="DJ719:DN719"/>
    <mergeCell ref="CU717:CY717"/>
    <mergeCell ref="AC635:AE635"/>
    <mergeCell ref="W635:Y635"/>
    <mergeCell ref="Z597:AE597"/>
    <mergeCell ref="Z631:AB631"/>
    <mergeCell ref="AF624:AJ626"/>
    <mergeCell ref="Z687:AE687"/>
    <mergeCell ref="AH718:AJ718"/>
    <mergeCell ref="AC718:AG718"/>
    <mergeCell ref="AK714:AO717"/>
    <mergeCell ref="AG657:AH657"/>
    <mergeCell ref="Z635:AB635"/>
    <mergeCell ref="Z654:AK654"/>
    <mergeCell ref="G654:R654"/>
    <mergeCell ref="G653:R653"/>
    <mergeCell ref="R705:T705"/>
    <mergeCell ref="G660:R660"/>
    <mergeCell ref="G602:R602"/>
    <mergeCell ref="AI597:AK597"/>
    <mergeCell ref="N673:O673"/>
    <mergeCell ref="N681:O681"/>
    <mergeCell ref="Z685:AK685"/>
    <mergeCell ref="AA606:AK606"/>
    <mergeCell ref="W633:Y633"/>
    <mergeCell ref="Z630:AB630"/>
    <mergeCell ref="Z603:AK603"/>
    <mergeCell ref="AH719:AJ719"/>
    <mergeCell ref="EH652:EL652"/>
    <mergeCell ref="DX652:EB652"/>
    <mergeCell ref="EC652:EG652"/>
    <mergeCell ref="H582:R582"/>
    <mergeCell ref="Z579:AK579"/>
    <mergeCell ref="T635:V635"/>
    <mergeCell ref="M633:P633"/>
    <mergeCell ref="G581:L581"/>
    <mergeCell ref="Z604:AK604"/>
    <mergeCell ref="Z605:AE605"/>
    <mergeCell ref="Z609:AK609"/>
    <mergeCell ref="C630:L630"/>
    <mergeCell ref="T636:V636"/>
    <mergeCell ref="G604:R604"/>
    <mergeCell ref="AF629:AJ629"/>
    <mergeCell ref="AI613:AK613"/>
    <mergeCell ref="AA614:AK614"/>
    <mergeCell ref="AC624:AE626"/>
    <mergeCell ref="AC628:AE628"/>
    <mergeCell ref="Q630:S630"/>
    <mergeCell ref="C629:L629"/>
    <mergeCell ref="T629:V629"/>
    <mergeCell ref="G610:R610"/>
    <mergeCell ref="A617:AT618"/>
    <mergeCell ref="B624:L626"/>
    <mergeCell ref="Z613:AE613"/>
    <mergeCell ref="AC629:AE629"/>
    <mergeCell ref="DJ728:DN728"/>
    <mergeCell ref="DO722:DS722"/>
    <mergeCell ref="DO717:DS717"/>
    <mergeCell ref="DE717:DI717"/>
    <mergeCell ref="CU719:CY719"/>
    <mergeCell ref="CG718:CH718"/>
    <mergeCell ref="CK719:CL719"/>
    <mergeCell ref="EJ718:EN718"/>
    <mergeCell ref="DJ718:DN718"/>
    <mergeCell ref="CZ719:DD719"/>
    <mergeCell ref="AE702:AF702"/>
    <mergeCell ref="AF638:AJ638"/>
    <mergeCell ref="X721:AB721"/>
    <mergeCell ref="AI671:AK671"/>
    <mergeCell ref="AK627:AN627"/>
    <mergeCell ref="AF632:AJ632"/>
    <mergeCell ref="AC631:AE631"/>
    <mergeCell ref="AO628:AS628"/>
    <mergeCell ref="Z632:AB632"/>
    <mergeCell ref="AC720:AG720"/>
    <mergeCell ref="AO632:AS632"/>
    <mergeCell ref="CI717:CJ717"/>
    <mergeCell ref="AA680:AK680"/>
    <mergeCell ref="Z661:AK661"/>
    <mergeCell ref="AC636:AE636"/>
    <mergeCell ref="EM636:EQ636"/>
    <mergeCell ref="DX637:EB637"/>
    <mergeCell ref="AC632:AE632"/>
    <mergeCell ref="AO633:AS633"/>
    <mergeCell ref="AE698:AI698"/>
    <mergeCell ref="AC714:AG717"/>
    <mergeCell ref="X714:AB717"/>
    <mergeCell ref="DE724:DI724"/>
    <mergeCell ref="H680:R680"/>
    <mergeCell ref="G659:R659"/>
    <mergeCell ref="Z667:AK667"/>
    <mergeCell ref="G725:J725"/>
    <mergeCell ref="B720:F720"/>
    <mergeCell ref="B722:F722"/>
    <mergeCell ref="EJ725:EN725"/>
    <mergeCell ref="DZ728:ED728"/>
    <mergeCell ref="EE724:EI724"/>
    <mergeCell ref="Z679:AE679"/>
    <mergeCell ref="Z670:AK670"/>
    <mergeCell ref="AK728:AO728"/>
    <mergeCell ref="AK729:AO729"/>
    <mergeCell ref="DX668:EB668"/>
    <mergeCell ref="EC668:EG668"/>
    <mergeCell ref="DO718:DS718"/>
    <mergeCell ref="DO719:DS719"/>
    <mergeCell ref="DO728:DS728"/>
    <mergeCell ref="CZ727:DD727"/>
    <mergeCell ref="CG719:CH719"/>
    <mergeCell ref="CI721:CJ721"/>
    <mergeCell ref="DE728:DI728"/>
    <mergeCell ref="CU729:CY729"/>
    <mergeCell ref="DE722:DI722"/>
    <mergeCell ref="AI687:AK687"/>
    <mergeCell ref="DJ721:DN721"/>
    <mergeCell ref="DJ723:DN723"/>
    <mergeCell ref="CM717:CN717"/>
    <mergeCell ref="CM719:CN719"/>
    <mergeCell ref="DE723:DI723"/>
    <mergeCell ref="O728:S728"/>
    <mergeCell ref="AG591:AH591"/>
    <mergeCell ref="ET725:EX725"/>
    <mergeCell ref="DU724:DY724"/>
    <mergeCell ref="DZ719:ED719"/>
    <mergeCell ref="CZ717:DD717"/>
    <mergeCell ref="CG721:CH721"/>
    <mergeCell ref="CK720:CL720"/>
    <mergeCell ref="CP722:CT722"/>
    <mergeCell ref="CP718:CT718"/>
    <mergeCell ref="CI718:CJ718"/>
    <mergeCell ref="DX666:EB666"/>
    <mergeCell ref="EC666:EG666"/>
    <mergeCell ref="Z647:AE647"/>
    <mergeCell ref="DJ724:DN724"/>
    <mergeCell ref="DO727:DS727"/>
    <mergeCell ref="Z644:AK644"/>
    <mergeCell ref="CZ718:DD718"/>
    <mergeCell ref="AC721:AG721"/>
    <mergeCell ref="AC719:AG719"/>
    <mergeCell ref="Z653:AK653"/>
    <mergeCell ref="Z651:AK651"/>
    <mergeCell ref="DO723:DS723"/>
    <mergeCell ref="DO724:DS724"/>
    <mergeCell ref="CU722:CY722"/>
    <mergeCell ref="CZ722:DD722"/>
    <mergeCell ref="CP723:CT723"/>
    <mergeCell ref="CZ721:DD721"/>
    <mergeCell ref="Z677:AK677"/>
    <mergeCell ref="DX660:EB660"/>
    <mergeCell ref="DX665:EB665"/>
    <mergeCell ref="AC725:AG725"/>
    <mergeCell ref="DE720:DI720"/>
    <mergeCell ref="AC630:AE630"/>
    <mergeCell ref="Z671:AE671"/>
    <mergeCell ref="CP721:CT721"/>
    <mergeCell ref="AF631:AJ631"/>
    <mergeCell ref="AK633:AN633"/>
    <mergeCell ref="ER648:EV648"/>
    <mergeCell ref="ER647:EV647"/>
    <mergeCell ref="EH645:EL645"/>
    <mergeCell ref="EM645:EQ645"/>
    <mergeCell ref="EH640:EL640"/>
    <mergeCell ref="EM640:EQ640"/>
    <mergeCell ref="DX639:EB639"/>
    <mergeCell ref="EW637:FA637"/>
    <mergeCell ref="EC645:EG645"/>
    <mergeCell ref="CP719:CT719"/>
    <mergeCell ref="EE719:EI719"/>
    <mergeCell ref="DZ720:ED720"/>
    <mergeCell ref="EJ719:EN719"/>
    <mergeCell ref="AF633:AJ633"/>
    <mergeCell ref="AK638:AN638"/>
    <mergeCell ref="AO641:AS641"/>
    <mergeCell ref="Z678:AK678"/>
    <mergeCell ref="AI663:AK663"/>
    <mergeCell ref="Z669:AK669"/>
    <mergeCell ref="E707:AK707"/>
    <mergeCell ref="W706:AK706"/>
    <mergeCell ref="CU718:CY718"/>
    <mergeCell ref="CP717:CT717"/>
    <mergeCell ref="AE694:AF694"/>
    <mergeCell ref="AG665:AH665"/>
    <mergeCell ref="J705:O705"/>
    <mergeCell ref="T720:W720"/>
    <mergeCell ref="DJ732:DN732"/>
    <mergeCell ref="CU732:CY732"/>
    <mergeCell ref="DJ729:DN729"/>
    <mergeCell ref="DE719:DI719"/>
    <mergeCell ref="CZ720:DD720"/>
    <mergeCell ref="DG122:DM122"/>
    <mergeCell ref="CU122:CV122"/>
    <mergeCell ref="AH714:AJ717"/>
    <mergeCell ref="AH725:AJ725"/>
    <mergeCell ref="AM565:AS565"/>
    <mergeCell ref="AA598:AK598"/>
    <mergeCell ref="Z629:AB629"/>
    <mergeCell ref="Z634:AB634"/>
    <mergeCell ref="AK636:AN636"/>
    <mergeCell ref="AK624:AN626"/>
    <mergeCell ref="AE556:AH556"/>
    <mergeCell ref="AE559:AH559"/>
    <mergeCell ref="AI559:AL559"/>
    <mergeCell ref="Z611:AK611"/>
    <mergeCell ref="AM556:AS556"/>
    <mergeCell ref="AO636:AS636"/>
    <mergeCell ref="AC722:AG722"/>
    <mergeCell ref="AH720:AJ720"/>
    <mergeCell ref="AK722:AO722"/>
    <mergeCell ref="AH721:AJ721"/>
    <mergeCell ref="AK719:AO719"/>
    <mergeCell ref="AC638:AE638"/>
    <mergeCell ref="AO630:AS630"/>
    <mergeCell ref="AC633:AE633"/>
    <mergeCell ref="AG615:AH615"/>
    <mergeCell ref="AF627:AJ627"/>
    <mergeCell ref="Z645:AK645"/>
    <mergeCell ref="AH734:AJ734"/>
    <mergeCell ref="X737:AB737"/>
    <mergeCell ref="X790:AB790"/>
    <mergeCell ref="U831:X831"/>
    <mergeCell ref="CU774:CY774"/>
    <mergeCell ref="X783:AB786"/>
    <mergeCell ref="X787:AB787"/>
    <mergeCell ref="X796:AB796"/>
    <mergeCell ref="Y829:AB829"/>
    <mergeCell ref="AC829:AF829"/>
    <mergeCell ref="Y826:AB826"/>
    <mergeCell ref="CG736:CH736"/>
    <mergeCell ref="CI740:CJ740"/>
    <mergeCell ref="AG826:AJ826"/>
    <mergeCell ref="AG825:AJ825"/>
    <mergeCell ref="Z806:AE806"/>
    <mergeCell ref="Y828:AB828"/>
    <mergeCell ref="AC769:AG772"/>
    <mergeCell ref="CG741:CH741"/>
    <mergeCell ref="U828:X828"/>
    <mergeCell ref="AG828:AJ828"/>
    <mergeCell ref="AG823:AJ824"/>
    <mergeCell ref="AC797:AG797"/>
    <mergeCell ref="AC787:AG787"/>
    <mergeCell ref="AC753:AG753"/>
    <mergeCell ref="AC744:AG744"/>
    <mergeCell ref="AC745:AG745"/>
    <mergeCell ref="AC746:AG746"/>
    <mergeCell ref="AC826:AF826"/>
    <mergeCell ref="Y831:AB831"/>
    <mergeCell ref="AC827:AF827"/>
    <mergeCell ref="Y825:AB825"/>
    <mergeCell ref="AE699:AI699"/>
    <mergeCell ref="Z675:AK675"/>
    <mergeCell ref="AC729:AG729"/>
    <mergeCell ref="AC726:AG726"/>
    <mergeCell ref="AH723:AJ723"/>
    <mergeCell ref="CG735:CH735"/>
    <mergeCell ref="CI737:CJ737"/>
    <mergeCell ref="CU736:CY736"/>
    <mergeCell ref="CK731:CL731"/>
    <mergeCell ref="CK729:CL729"/>
    <mergeCell ref="CG725:CH725"/>
    <mergeCell ref="CK724:CL724"/>
    <mergeCell ref="DJ731:DN731"/>
    <mergeCell ref="DE739:DI739"/>
    <mergeCell ref="CK732:CL732"/>
    <mergeCell ref="DE734:DI734"/>
    <mergeCell ref="CU740:CY740"/>
    <mergeCell ref="CI739:CJ739"/>
    <mergeCell ref="CP739:CT739"/>
    <mergeCell ref="CU737:CY737"/>
    <mergeCell ref="CZ738:DD738"/>
    <mergeCell ref="CG738:CH738"/>
    <mergeCell ref="DJ739:DN739"/>
    <mergeCell ref="CK740:CL740"/>
    <mergeCell ref="DE737:DI737"/>
    <mergeCell ref="DE731:DI731"/>
    <mergeCell ref="DJ735:DN735"/>
    <mergeCell ref="CU738:CY738"/>
    <mergeCell ref="CM733:CN733"/>
    <mergeCell ref="CI733:CJ733"/>
    <mergeCell ref="CP737:CT737"/>
    <mergeCell ref="CZ734:DD734"/>
    <mergeCell ref="CK738:CL738"/>
    <mergeCell ref="B736:F736"/>
    <mergeCell ref="T788:W788"/>
    <mergeCell ref="X745:AB745"/>
    <mergeCell ref="Y827:AB827"/>
    <mergeCell ref="AG827:AJ827"/>
    <mergeCell ref="U826:X826"/>
    <mergeCell ref="X794:AB794"/>
    <mergeCell ref="M828:P828"/>
    <mergeCell ref="M827:P827"/>
    <mergeCell ref="J797:N797"/>
    <mergeCell ref="J795:N795"/>
    <mergeCell ref="U827:X827"/>
    <mergeCell ref="CG751:CH751"/>
    <mergeCell ref="O796:S796"/>
    <mergeCell ref="U825:X825"/>
    <mergeCell ref="M823:P824"/>
    <mergeCell ref="T751:W751"/>
    <mergeCell ref="K748:N748"/>
    <mergeCell ref="K752:N752"/>
    <mergeCell ref="J774:N774"/>
    <mergeCell ref="K739:N739"/>
    <mergeCell ref="CG742:CH742"/>
    <mergeCell ref="CG743:CH743"/>
    <mergeCell ref="CK741:CL741"/>
    <mergeCell ref="B744:F744"/>
    <mergeCell ref="B745:F745"/>
    <mergeCell ref="C827:H827"/>
    <mergeCell ref="C828:H828"/>
    <mergeCell ref="B742:F742"/>
    <mergeCell ref="B743:F743"/>
    <mergeCell ref="AC743:AG743"/>
    <mergeCell ref="CK735:CL735"/>
    <mergeCell ref="M830:P830"/>
    <mergeCell ref="CZ752:DD752"/>
    <mergeCell ref="CG731:CH731"/>
    <mergeCell ref="AC830:AF830"/>
    <mergeCell ref="CI731:CJ731"/>
    <mergeCell ref="AC774:AG774"/>
    <mergeCell ref="X777:AB777"/>
    <mergeCell ref="CI747:CJ747"/>
    <mergeCell ref="CK747:CL747"/>
    <mergeCell ref="CM747:CN747"/>
    <mergeCell ref="CP742:CT742"/>
    <mergeCell ref="CP743:CT743"/>
    <mergeCell ref="CZ797:DD797"/>
    <mergeCell ref="AG830:AJ830"/>
    <mergeCell ref="P945:T945"/>
    <mergeCell ref="U934:Z934"/>
    <mergeCell ref="AA933:AF933"/>
    <mergeCell ref="Z900:AE900"/>
    <mergeCell ref="AA941:AF941"/>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BI841:BL841"/>
    <mergeCell ref="CM736:CN736"/>
    <mergeCell ref="CI738:CJ738"/>
    <mergeCell ref="CP741:CT741"/>
    <mergeCell ref="W851:AC851"/>
    <mergeCell ref="W855:AC855"/>
    <mergeCell ref="W852:AC852"/>
    <mergeCell ref="W854:AC854"/>
    <mergeCell ref="C837:AJ837"/>
    <mergeCell ref="C829:H829"/>
    <mergeCell ref="U829:X829"/>
    <mergeCell ref="X752:AB752"/>
    <mergeCell ref="Q828:T828"/>
    <mergeCell ref="F831:L831"/>
    <mergeCell ref="F926:T926"/>
    <mergeCell ref="F927:T927"/>
    <mergeCell ref="F928:T928"/>
    <mergeCell ref="U926:Z926"/>
    <mergeCell ref="AA926:AF926"/>
    <mergeCell ref="U927:Z927"/>
    <mergeCell ref="AA927:AF927"/>
    <mergeCell ref="X774:AB774"/>
    <mergeCell ref="T773:W773"/>
    <mergeCell ref="B751:F751"/>
    <mergeCell ref="Q823:T824"/>
    <mergeCell ref="Z809:AE809"/>
    <mergeCell ref="O791:S791"/>
    <mergeCell ref="J783:N786"/>
    <mergeCell ref="T790:W790"/>
    <mergeCell ref="T793:W793"/>
    <mergeCell ref="O775:S775"/>
    <mergeCell ref="J792:N792"/>
    <mergeCell ref="F944:T944"/>
    <mergeCell ref="U944:Z944"/>
    <mergeCell ref="F940:T940"/>
    <mergeCell ref="U939:Z939"/>
    <mergeCell ref="U940:Z940"/>
    <mergeCell ref="Q832:T832"/>
    <mergeCell ref="Y832:AB832"/>
    <mergeCell ref="AA938:AF938"/>
    <mergeCell ref="U923:Z923"/>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U931:Z931"/>
    <mergeCell ref="F915:T915"/>
    <mergeCell ref="C832:L832"/>
    <mergeCell ref="AG832:AJ832"/>
    <mergeCell ref="W844:AC844"/>
    <mergeCell ref="U832:X832"/>
    <mergeCell ref="M832:P832"/>
    <mergeCell ref="W859:AC859"/>
    <mergeCell ref="W849:AC849"/>
    <mergeCell ref="W842:AC842"/>
    <mergeCell ref="W847:AC847"/>
    <mergeCell ref="I946:T946"/>
    <mergeCell ref="AA946:AF946"/>
    <mergeCell ref="M968:S968"/>
    <mergeCell ref="F932:T932"/>
    <mergeCell ref="AA939:AF939"/>
    <mergeCell ref="AA940:AF940"/>
    <mergeCell ref="W853:AC853"/>
    <mergeCell ref="U924:Z924"/>
    <mergeCell ref="C830:H830"/>
    <mergeCell ref="AA935:AF935"/>
    <mergeCell ref="AA918:AF918"/>
    <mergeCell ref="I949:T949"/>
    <mergeCell ref="U938:Z938"/>
    <mergeCell ref="J849:V849"/>
    <mergeCell ref="AA944:AF944"/>
    <mergeCell ref="W843:AC843"/>
    <mergeCell ref="U928:Z928"/>
    <mergeCell ref="U948:Z948"/>
    <mergeCell ref="U935:Z935"/>
    <mergeCell ref="U943:Z943"/>
    <mergeCell ref="U941:Z941"/>
    <mergeCell ref="AA943:AF943"/>
    <mergeCell ref="AC885:AH885"/>
    <mergeCell ref="W861:AC861"/>
    <mergeCell ref="C895:AB895"/>
    <mergeCell ref="M871:V871"/>
    <mergeCell ref="M878:V878"/>
    <mergeCell ref="W870:AC870"/>
    <mergeCell ref="U946:Z946"/>
    <mergeCell ref="F946:H946"/>
    <mergeCell ref="I948:T948"/>
    <mergeCell ref="AC895:AH895"/>
    <mergeCell ref="U949:Z949"/>
    <mergeCell ref="U942:Z942"/>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W866:AC866"/>
    <mergeCell ref="M877:V877"/>
    <mergeCell ref="BD905:BF905"/>
    <mergeCell ref="BD910:BE910"/>
    <mergeCell ref="BD903:BE903"/>
    <mergeCell ref="Z899:AE899"/>
    <mergeCell ref="W876:AC876"/>
    <mergeCell ref="AA924:AF924"/>
    <mergeCell ref="AC889:AH889"/>
    <mergeCell ref="AC894:AH894"/>
    <mergeCell ref="AC887:AH887"/>
    <mergeCell ref="AA969:AG969"/>
    <mergeCell ref="AA949:AF949"/>
    <mergeCell ref="F942:T942"/>
    <mergeCell ref="A910:AT911"/>
    <mergeCell ref="D1125:AK1127"/>
    <mergeCell ref="X726:AB726"/>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M955:S955"/>
    <mergeCell ref="W846:AC846"/>
    <mergeCell ref="AA967:AG967"/>
    <mergeCell ref="M861:V861"/>
    <mergeCell ref="W845:AC845"/>
    <mergeCell ref="M846:V846"/>
    <mergeCell ref="C826:H826"/>
    <mergeCell ref="U823:X824"/>
    <mergeCell ref="O756:R756"/>
    <mergeCell ref="AG756:AJ756"/>
    <mergeCell ref="A1125:B1125"/>
    <mergeCell ref="AK749:AO749"/>
    <mergeCell ref="T750:W750"/>
    <mergeCell ref="O747:S747"/>
    <mergeCell ref="AC832:AF832"/>
    <mergeCell ref="Y830:AB830"/>
    <mergeCell ref="E885:AB885"/>
    <mergeCell ref="M831:P831"/>
    <mergeCell ref="Q831:T831"/>
    <mergeCell ref="Z901:AE901"/>
    <mergeCell ref="W878:AC878"/>
    <mergeCell ref="T749:W749"/>
    <mergeCell ref="K750:N750"/>
    <mergeCell ref="B754:AH755"/>
    <mergeCell ref="AC750:AG750"/>
    <mergeCell ref="AK751:AO751"/>
    <mergeCell ref="AK748:AO748"/>
    <mergeCell ref="AC794:AG794"/>
    <mergeCell ref="AC795:AG795"/>
    <mergeCell ref="O774:S774"/>
    <mergeCell ref="O794:S794"/>
    <mergeCell ref="X769:AB772"/>
    <mergeCell ref="T769:W772"/>
    <mergeCell ref="AC793:AG793"/>
    <mergeCell ref="X775:AB775"/>
    <mergeCell ref="X776:AB776"/>
    <mergeCell ref="AC775:AG775"/>
    <mergeCell ref="AC783:AG786"/>
    <mergeCell ref="C766:AR768"/>
    <mergeCell ref="B753:F753"/>
    <mergeCell ref="O752:S752"/>
    <mergeCell ref="AC828:AF828"/>
    <mergeCell ref="AG829:AJ829"/>
    <mergeCell ref="AC823:AF824"/>
    <mergeCell ref="Z816:AE816"/>
    <mergeCell ref="AC773:AG773"/>
    <mergeCell ref="AC831:AF831"/>
    <mergeCell ref="G721:J721"/>
    <mergeCell ref="G722:J722"/>
    <mergeCell ref="AA947:AF947"/>
    <mergeCell ref="AB957:AK957"/>
    <mergeCell ref="AE956:AK956"/>
    <mergeCell ref="T795:W795"/>
    <mergeCell ref="T776:W776"/>
    <mergeCell ref="T774:W774"/>
    <mergeCell ref="AC751:AG751"/>
    <mergeCell ref="AH752:AJ752"/>
    <mergeCell ref="AH751:AJ751"/>
    <mergeCell ref="G753:J753"/>
    <mergeCell ref="AD759:AF759"/>
    <mergeCell ref="AH750:AJ750"/>
    <mergeCell ref="X792:AB792"/>
    <mergeCell ref="K749:N749"/>
    <mergeCell ref="AC747:AG747"/>
    <mergeCell ref="J773:N773"/>
    <mergeCell ref="O773:S773"/>
    <mergeCell ref="T752:W752"/>
    <mergeCell ref="J776:N776"/>
    <mergeCell ref="AH749:AJ749"/>
    <mergeCell ref="J769:N772"/>
    <mergeCell ref="O749:S749"/>
    <mergeCell ref="X751:AB751"/>
    <mergeCell ref="AH753:AJ753"/>
    <mergeCell ref="O748:S748"/>
    <mergeCell ref="T775:W775"/>
    <mergeCell ref="C763:AR765"/>
    <mergeCell ref="AC752:AG752"/>
    <mergeCell ref="G729:J729"/>
    <mergeCell ref="B726:F726"/>
    <mergeCell ref="AC733:AG733"/>
    <mergeCell ref="AG649:AH649"/>
    <mergeCell ref="P816:Y816"/>
    <mergeCell ref="T796:W796"/>
    <mergeCell ref="Z807:AE807"/>
    <mergeCell ref="AK745:AO745"/>
    <mergeCell ref="AH741:AJ741"/>
    <mergeCell ref="AK740:AO740"/>
    <mergeCell ref="AK741:AO741"/>
    <mergeCell ref="AK752:AO752"/>
    <mergeCell ref="O741:S741"/>
    <mergeCell ref="O737:S737"/>
    <mergeCell ref="O738:S738"/>
    <mergeCell ref="AK731:AO731"/>
    <mergeCell ref="AK738:AO738"/>
    <mergeCell ref="Z686:AK686"/>
    <mergeCell ref="G730:J730"/>
    <mergeCell ref="X730:AB730"/>
    <mergeCell ref="X731:AB731"/>
    <mergeCell ref="AH732:AJ732"/>
    <mergeCell ref="T737:W737"/>
    <mergeCell ref="O740:S740"/>
    <mergeCell ref="T734:W734"/>
    <mergeCell ref="T745:W745"/>
    <mergeCell ref="AH730:AJ730"/>
    <mergeCell ref="AC723:AG723"/>
    <mergeCell ref="K727:N727"/>
    <mergeCell ref="K726:N726"/>
    <mergeCell ref="X739:AB739"/>
    <mergeCell ref="G740:J740"/>
    <mergeCell ref="AH729:AJ729"/>
    <mergeCell ref="O742:S742"/>
    <mergeCell ref="AJ1029:AQ1031"/>
    <mergeCell ref="D1029:AE1029"/>
    <mergeCell ref="B991:AA991"/>
    <mergeCell ref="M969:S969"/>
    <mergeCell ref="AH738:AJ738"/>
    <mergeCell ref="AH736:AJ736"/>
    <mergeCell ref="B639:AN639"/>
    <mergeCell ref="B640:AN640"/>
    <mergeCell ref="AK737:AO737"/>
    <mergeCell ref="X735:AB735"/>
    <mergeCell ref="X736:AB736"/>
    <mergeCell ref="T735:W735"/>
    <mergeCell ref="AH737:AJ737"/>
    <mergeCell ref="AC728:AG728"/>
    <mergeCell ref="AC732:AG732"/>
    <mergeCell ref="X733:AB733"/>
    <mergeCell ref="G732:J732"/>
    <mergeCell ref="AH735:AJ735"/>
    <mergeCell ref="X734:AB734"/>
    <mergeCell ref="X727:AB727"/>
    <mergeCell ref="G728:J728"/>
    <mergeCell ref="B719:F719"/>
    <mergeCell ref="Z646:AK646"/>
    <mergeCell ref="T718:W718"/>
    <mergeCell ref="O721:S721"/>
    <mergeCell ref="K722:N722"/>
    <mergeCell ref="K723:N723"/>
    <mergeCell ref="T733:W733"/>
    <mergeCell ref="O734:S734"/>
    <mergeCell ref="AC734:AG734"/>
    <mergeCell ref="AC735:AG735"/>
    <mergeCell ref="B714:F717"/>
    <mergeCell ref="D1041:AE1041"/>
    <mergeCell ref="D1042:AE1044"/>
    <mergeCell ref="F975:L975"/>
    <mergeCell ref="M975:S97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AA925:AF925"/>
    <mergeCell ref="AE958:AK958"/>
    <mergeCell ref="F916:T917"/>
    <mergeCell ref="F939:T939"/>
    <mergeCell ref="AB988:AI988"/>
    <mergeCell ref="R986:AA986"/>
    <mergeCell ref="M959:S959"/>
    <mergeCell ref="U922:Z922"/>
    <mergeCell ref="D985:Q985"/>
    <mergeCell ref="D986:Q986"/>
    <mergeCell ref="AJ1041:AQ1044"/>
    <mergeCell ref="D1030:AE1031"/>
    <mergeCell ref="B993:AE993"/>
    <mergeCell ref="D1045:AE104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94:AE994"/>
    <mergeCell ref="D1000:AE1000"/>
    <mergeCell ref="AJ1053:AQ1053"/>
    <mergeCell ref="AG1029:AH1029"/>
    <mergeCell ref="D1037:AE1040"/>
    <mergeCell ref="AJ1036:AQ1040"/>
    <mergeCell ref="J957:S957"/>
    <mergeCell ref="AJ990:AQ990"/>
    <mergeCell ref="AE959:AK959"/>
    <mergeCell ref="W974:AG974"/>
    <mergeCell ref="M973:S973"/>
    <mergeCell ref="M972:S972"/>
    <mergeCell ref="AE962:AK962"/>
    <mergeCell ref="M961:S961"/>
    <mergeCell ref="M958:S958"/>
    <mergeCell ref="AA972:AG972"/>
    <mergeCell ref="D988:Q988"/>
    <mergeCell ref="D989:Q989"/>
    <mergeCell ref="R988:AA988"/>
    <mergeCell ref="O974:P974"/>
    <mergeCell ref="M962:S962"/>
    <mergeCell ref="M960:S960"/>
    <mergeCell ref="D990:Q990"/>
    <mergeCell ref="AB989:AI989"/>
    <mergeCell ref="AB990:AI990"/>
    <mergeCell ref="FY728:GC728"/>
    <mergeCell ref="FE720:FI720"/>
    <mergeCell ref="FJ720:FN720"/>
    <mergeCell ref="FO720:FS720"/>
    <mergeCell ref="EZ717:FD717"/>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J1024:AE1024"/>
    <mergeCell ref="AJ992:AQ992"/>
    <mergeCell ref="AJ993:AQ993"/>
    <mergeCell ref="D1013:AE1013"/>
    <mergeCell ref="AF993:AI993"/>
    <mergeCell ref="AG994:AH994"/>
    <mergeCell ref="AG1001:AH1001"/>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4:FX724"/>
    <mergeCell ref="FY724:GC724"/>
    <mergeCell ref="FJ724:FN724"/>
    <mergeCell ref="FE717:FI717"/>
    <mergeCell ref="FJ717:FN717"/>
    <mergeCell ref="FO717:FS717"/>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8:FX728"/>
    <mergeCell ref="FJ725:FN725"/>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J731:FN731"/>
    <mergeCell ref="FO731:FS731"/>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Y738:GC738"/>
    <mergeCell ref="FY730:GC730"/>
    <mergeCell ref="EZ731:FD731"/>
    <mergeCell ref="FE731:FI731"/>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DX649:EB649"/>
    <mergeCell ref="DX655:EB655"/>
    <mergeCell ref="EE734:EI734"/>
    <mergeCell ref="DU731:DY731"/>
    <mergeCell ref="EO731:ES731"/>
    <mergeCell ref="DZ724:ED724"/>
    <mergeCell ref="ET723:EX723"/>
    <mergeCell ref="EE725:EI725"/>
    <mergeCell ref="ET731:EX731"/>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W652:FA652"/>
    <mergeCell ref="EW638:FA638"/>
    <mergeCell ref="EW670:FA670"/>
    <mergeCell ref="EW656:FA656"/>
    <mergeCell ref="DO733:DS733"/>
    <mergeCell ref="DO734:DS734"/>
    <mergeCell ref="EJ734:EN734"/>
    <mergeCell ref="EE733:EI733"/>
    <mergeCell ref="ET732:EX732"/>
    <mergeCell ref="ET721:EX721"/>
    <mergeCell ref="EE720:EI720"/>
    <mergeCell ref="DU730:DY730"/>
    <mergeCell ref="EE728:EI728"/>
    <mergeCell ref="EJ728:EN728"/>
    <mergeCell ref="EO727:ES727"/>
    <mergeCell ref="EJ733:EN733"/>
    <mergeCell ref="EH657:EL657"/>
    <mergeCell ref="EM657:EQ657"/>
    <mergeCell ref="ET717:EX717"/>
    <mergeCell ref="EE729:EI729"/>
    <mergeCell ref="EO721:ES721"/>
    <mergeCell ref="EZ729:FD729"/>
    <mergeCell ref="DZ733:ED733"/>
    <mergeCell ref="EO730:ES730"/>
    <mergeCell ref="ET730:EX730"/>
    <mergeCell ref="EJ722:EN722"/>
    <mergeCell ref="EW659:FA659"/>
    <mergeCell ref="EH660:EL660"/>
    <mergeCell ref="EM660:EQ660"/>
    <mergeCell ref="DZ731:ED731"/>
    <mergeCell ref="DO721:DS721"/>
    <mergeCell ref="FE730:FI730"/>
    <mergeCell ref="FJ730:FN730"/>
    <mergeCell ref="EZ728:FD728"/>
    <mergeCell ref="FE728:FI728"/>
    <mergeCell ref="FJ728:FN728"/>
    <mergeCell ref="FO728:FS728"/>
    <mergeCell ref="DZ717:ED717"/>
    <mergeCell ref="DZ726:ED726"/>
    <mergeCell ref="DU728:DY728"/>
    <mergeCell ref="DE736:DI736"/>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Z729:ED729"/>
    <mergeCell ref="ET727:EX727"/>
    <mergeCell ref="DZ727:ED727"/>
    <mergeCell ref="EE727:EI727"/>
    <mergeCell ref="EE723:EI723"/>
    <mergeCell ref="EJ723:EN723"/>
    <mergeCell ref="EO725:ES725"/>
    <mergeCell ref="EJ724:EN724"/>
    <mergeCell ref="EO723:ES723"/>
    <mergeCell ref="DU726:DY726"/>
    <mergeCell ref="FE729:FI729"/>
    <mergeCell ref="FJ729:FN729"/>
    <mergeCell ref="FO729:FS729"/>
    <mergeCell ref="FO724:FS724"/>
    <mergeCell ref="EO728:ES728"/>
    <mergeCell ref="ET728:EX728"/>
    <mergeCell ref="EO720:ES720"/>
    <mergeCell ref="ER654:EV654"/>
    <mergeCell ref="EM652:EQ652"/>
    <mergeCell ref="DX650:EB650"/>
    <mergeCell ref="EC650:EG650"/>
    <mergeCell ref="EC655:EG655"/>
    <mergeCell ref="DX667:EB667"/>
    <mergeCell ref="ER650:EV650"/>
    <mergeCell ref="EM650:EQ650"/>
    <mergeCell ref="DX653:EB653"/>
    <mergeCell ref="EC653:EG653"/>
    <mergeCell ref="DX654:EB654"/>
    <mergeCell ref="ER651:EV651"/>
    <mergeCell ref="ER652:EV652"/>
    <mergeCell ref="DX662:EB662"/>
    <mergeCell ref="EC662:EG662"/>
    <mergeCell ref="EH662:EL662"/>
    <mergeCell ref="DX659:EB659"/>
    <mergeCell ref="EO724:ES724"/>
    <mergeCell ref="ET724:EX724"/>
    <mergeCell ref="EO726:ES726"/>
    <mergeCell ref="ET726:EX726"/>
    <mergeCell ref="ET722:EX722"/>
    <mergeCell ref="ET720:EX720"/>
    <mergeCell ref="EC660:EG660"/>
    <mergeCell ref="DU722:DY722"/>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B641:AN641"/>
    <mergeCell ref="G643:R643"/>
    <mergeCell ref="EM670:EQ670"/>
    <mergeCell ref="AK730:AO730"/>
    <mergeCell ref="AC724:AG724"/>
    <mergeCell ref="AC730:AG730"/>
    <mergeCell ref="AE693:AF693"/>
    <mergeCell ref="AH727:AJ727"/>
    <mergeCell ref="X725:AB725"/>
    <mergeCell ref="EO740:ES740"/>
    <mergeCell ref="ER669:EV669"/>
    <mergeCell ref="ER668:EV668"/>
    <mergeCell ref="FO740:FS740"/>
    <mergeCell ref="EC637:EG637"/>
    <mergeCell ref="EH637:EL637"/>
    <mergeCell ref="T624:V626"/>
    <mergeCell ref="ET751:EX751"/>
    <mergeCell ref="EJ751:EN751"/>
    <mergeCell ref="EO739:ES739"/>
    <mergeCell ref="ET739:EX739"/>
    <mergeCell ref="DU729:DY729"/>
    <mergeCell ref="DJ730:DN730"/>
    <mergeCell ref="DX643:EB643"/>
    <mergeCell ref="DX640:EB640"/>
    <mergeCell ref="ER639:EV639"/>
    <mergeCell ref="DX644:EB644"/>
    <mergeCell ref="DX642:EB642"/>
    <mergeCell ref="ER660:EV660"/>
    <mergeCell ref="EH666:EL666"/>
    <mergeCell ref="EC654:EG654"/>
    <mergeCell ref="EH654:EL654"/>
    <mergeCell ref="EH668:EL668"/>
    <mergeCell ref="DX657:EB657"/>
    <mergeCell ref="EC657:EG657"/>
    <mergeCell ref="AO634:AS634"/>
    <mergeCell ref="EW668:FA668"/>
    <mergeCell ref="EW664:FA664"/>
    <mergeCell ref="EW666:FA666"/>
    <mergeCell ref="EW654:FA654"/>
    <mergeCell ref="DX647:EB647"/>
    <mergeCell ref="ER661:EV661"/>
    <mergeCell ref="EO738:ES738"/>
    <mergeCell ref="DE738:DI738"/>
    <mergeCell ref="EM649:EQ649"/>
    <mergeCell ref="CM741:CN741"/>
    <mergeCell ref="DZ741:ED741"/>
    <mergeCell ref="CU748:CY748"/>
    <mergeCell ref="DE787:DI787"/>
    <mergeCell ref="DE788:DI788"/>
    <mergeCell ref="CI750:CJ750"/>
    <mergeCell ref="CI753:CJ753"/>
    <mergeCell ref="CM753:CN753"/>
    <mergeCell ref="CP753:CT753"/>
    <mergeCell ref="DE776:DI776"/>
    <mergeCell ref="DJ746:DN746"/>
    <mergeCell ref="DO746:DS746"/>
    <mergeCell ref="CZ746:DD746"/>
    <mergeCell ref="EE753:EI753"/>
    <mergeCell ref="CK751:CL751"/>
    <mergeCell ref="DJ776:DN776"/>
    <mergeCell ref="DO776:DS776"/>
    <mergeCell ref="DO775:DS775"/>
    <mergeCell ref="DJ753:DN753"/>
    <mergeCell ref="CP787:CT787"/>
    <mergeCell ref="CU775:CY775"/>
    <mergeCell ref="EE745:EI745"/>
    <mergeCell ref="DU749:DY749"/>
    <mergeCell ref="DZ749:ED749"/>
    <mergeCell ref="CZ775:DD775"/>
    <mergeCell ref="CZ776:DD776"/>
    <mergeCell ref="CZ748:DD748"/>
    <mergeCell ref="DE748:DI748"/>
    <mergeCell ref="DJ748:DN748"/>
    <mergeCell ref="DE744:DI744"/>
    <mergeCell ref="CP776:CT776"/>
    <mergeCell ref="DJ773:DN773"/>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E740:DI740"/>
    <mergeCell ref="DU740:DY740"/>
    <mergeCell ref="DZ740:ED740"/>
    <mergeCell ref="EE740:EI740"/>
    <mergeCell ref="DO748:DS748"/>
    <mergeCell ref="CU747:CY747"/>
    <mergeCell ref="CZ747:DD747"/>
    <mergeCell ref="DE747:DI747"/>
    <mergeCell ref="DJ744:DN744"/>
    <mergeCell ref="CU746:CY746"/>
    <mergeCell ref="CU744:CY744"/>
    <mergeCell ref="DU741:DY741"/>
    <mergeCell ref="DU745:DY745"/>
    <mergeCell ref="DZ745:ED745"/>
    <mergeCell ref="DZ750:ED750"/>
    <mergeCell ref="DJ777:DN777"/>
    <mergeCell ref="CZ774:DD774"/>
    <mergeCell ref="CP775:CT775"/>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5:DI735"/>
    <mergeCell ref="DO732:DS732"/>
    <mergeCell ref="CM740:CN740"/>
    <mergeCell ref="DX645:EB645"/>
    <mergeCell ref="EM647:EQ647"/>
    <mergeCell ref="DX648:EB648"/>
    <mergeCell ref="DX651:EB651"/>
    <mergeCell ref="EC651:EG651"/>
    <mergeCell ref="EM648:EQ648"/>
    <mergeCell ref="EJ739:EN739"/>
    <mergeCell ref="DO739:DS739"/>
    <mergeCell ref="DZ734:ED734"/>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7:FA657"/>
    <mergeCell ref="EH659:EL659"/>
    <mergeCell ref="EC661:EG661"/>
    <mergeCell ref="EH661:EL661"/>
    <mergeCell ref="EM651:EQ651"/>
    <mergeCell ref="EW661:FA661"/>
    <mergeCell ref="EM662:EQ662"/>
    <mergeCell ref="EH647:EL647"/>
    <mergeCell ref="ER657:EV657"/>
    <mergeCell ref="EM654:EQ654"/>
    <mergeCell ref="ET752:EX752"/>
    <mergeCell ref="EO751:ES751"/>
    <mergeCell ref="ET753:EX753"/>
    <mergeCell ref="ET718:EX718"/>
    <mergeCell ref="DU725:DY725"/>
    <mergeCell ref="DZ725:ED725"/>
    <mergeCell ref="DU723:DY723"/>
    <mergeCell ref="DZ723:ED723"/>
    <mergeCell ref="DZ737:ED737"/>
    <mergeCell ref="EO753:ES753"/>
    <mergeCell ref="DU734:DY734"/>
    <mergeCell ref="EJ727:EN727"/>
    <mergeCell ref="EO729:ES729"/>
    <mergeCell ref="EO732:ES732"/>
    <mergeCell ref="ET729:EX729"/>
    <mergeCell ref="EO719:ES719"/>
    <mergeCell ref="EE738:EI738"/>
    <mergeCell ref="EJ738:EN738"/>
    <mergeCell ref="EJ740:EN740"/>
    <mergeCell ref="EO745:ES745"/>
    <mergeCell ref="DJ737:DN737"/>
    <mergeCell ref="DJ738:DN738"/>
    <mergeCell ref="EO737:ES737"/>
    <mergeCell ref="DU737:DY737"/>
    <mergeCell ref="DU735:DY735"/>
    <mergeCell ref="DO737:DS737"/>
    <mergeCell ref="DO738:DS738"/>
    <mergeCell ref="DO730:DS730"/>
    <mergeCell ref="DO774:DS774"/>
    <mergeCell ref="DU753:DY753"/>
    <mergeCell ref="DZ753:ED753"/>
    <mergeCell ref="EW660:FA660"/>
    <mergeCell ref="DX661:EB661"/>
    <mergeCell ref="ER662:EV662"/>
    <mergeCell ref="DU727:DY727"/>
    <mergeCell ref="EE726:EI726"/>
    <mergeCell ref="EJ726:EN726"/>
    <mergeCell ref="DO720:DS720"/>
    <mergeCell ref="DU718:DY718"/>
    <mergeCell ref="DU721:DY721"/>
    <mergeCell ref="EE721:EI721"/>
    <mergeCell ref="EJ721:EN721"/>
    <mergeCell ref="DZ721:ED721"/>
    <mergeCell ref="DZ722:ED722"/>
    <mergeCell ref="DU717:DY717"/>
    <mergeCell ref="DU719:DY719"/>
    <mergeCell ref="EE717:EI717"/>
    <mergeCell ref="EZ720:FD720"/>
    <mergeCell ref="DO726:DS726"/>
    <mergeCell ref="DO731:DS731"/>
    <mergeCell ref="DO729:DS729"/>
    <mergeCell ref="DO725:DS725"/>
    <mergeCell ref="EZ742:FD742"/>
    <mergeCell ref="ET736:EX736"/>
    <mergeCell ref="EE735:EI735"/>
    <mergeCell ref="ET750:EX750"/>
    <mergeCell ref="EE722:EI722"/>
    <mergeCell ref="DZ718:ED718"/>
    <mergeCell ref="EE718:EI718"/>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74:DI774"/>
    <mergeCell ref="DE750:DI750"/>
    <mergeCell ref="DZ738:ED738"/>
    <mergeCell ref="DJ750:DN750"/>
    <mergeCell ref="C636:L636"/>
    <mergeCell ref="N665:O665"/>
    <mergeCell ref="G611:R611"/>
    <mergeCell ref="Z602:AK602"/>
    <mergeCell ref="Z612:AK612"/>
    <mergeCell ref="AC627:AE627"/>
    <mergeCell ref="AA656:AK656"/>
    <mergeCell ref="Q628:S628"/>
    <mergeCell ref="Q629:S629"/>
    <mergeCell ref="P421:R421"/>
    <mergeCell ref="C634:L634"/>
    <mergeCell ref="AA573:AK573"/>
    <mergeCell ref="M624:P626"/>
    <mergeCell ref="AE563:AH563"/>
    <mergeCell ref="G645:R645"/>
    <mergeCell ref="G661:R661"/>
    <mergeCell ref="M632:P632"/>
    <mergeCell ref="Q633:S633"/>
    <mergeCell ref="AC634:AE634"/>
    <mergeCell ref="Q631:S631"/>
    <mergeCell ref="T632:V632"/>
    <mergeCell ref="T633:V633"/>
    <mergeCell ref="W634:Y634"/>
    <mergeCell ref="C635:L635"/>
    <mergeCell ref="W629:Y629"/>
    <mergeCell ref="W564:Y564"/>
    <mergeCell ref="M634:P634"/>
    <mergeCell ref="G647:L647"/>
    <mergeCell ref="C638:L638"/>
    <mergeCell ref="Z434:AA434"/>
    <mergeCell ref="G655:L655"/>
    <mergeCell ref="H656:R656"/>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G572:L572"/>
    <mergeCell ref="M565:P565"/>
    <mergeCell ref="Z588:AK588"/>
    <mergeCell ref="AM561:AS561"/>
    <mergeCell ref="AM559:AS559"/>
    <mergeCell ref="AK630:AN630"/>
    <mergeCell ref="AK631:AN631"/>
    <mergeCell ref="M630:P630"/>
    <mergeCell ref="M631:P631"/>
    <mergeCell ref="AM564:AS564"/>
    <mergeCell ref="AI581:AK581"/>
    <mergeCell ref="Z601:AK601"/>
    <mergeCell ref="P605:R605"/>
    <mergeCell ref="C628:L628"/>
    <mergeCell ref="G605:L60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M563:AS563"/>
    <mergeCell ref="AG607:AH607"/>
    <mergeCell ref="AO624:AS626"/>
    <mergeCell ref="AJ1045:AQ1048"/>
    <mergeCell ref="AJ1049:AQ1052"/>
    <mergeCell ref="U929:Z929"/>
    <mergeCell ref="B746:F746"/>
    <mergeCell ref="B747:F747"/>
    <mergeCell ref="B748:F748"/>
    <mergeCell ref="B749:F749"/>
    <mergeCell ref="B750:F750"/>
    <mergeCell ref="D1016:AE1016"/>
    <mergeCell ref="AB985:AI985"/>
    <mergeCell ref="AB986:AI986"/>
    <mergeCell ref="D1008:AE1010"/>
    <mergeCell ref="AF1021:AI1022"/>
    <mergeCell ref="AG1007:AH1007"/>
    <mergeCell ref="AG1011:AH1011"/>
    <mergeCell ref="AG1013:AH1013"/>
    <mergeCell ref="AG1016:AH1016"/>
    <mergeCell ref="AG1020:AH1020"/>
    <mergeCell ref="AB987:AI987"/>
    <mergeCell ref="D987:Q987"/>
    <mergeCell ref="R989:AA989"/>
    <mergeCell ref="AJ989:AQ989"/>
    <mergeCell ref="D1012:AE1012"/>
    <mergeCell ref="AF1027:AI1028"/>
    <mergeCell ref="D1046:AE1047"/>
    <mergeCell ref="AA970:AG970"/>
    <mergeCell ref="AF1023:AI1024"/>
    <mergeCell ref="M970:S970"/>
    <mergeCell ref="AA971:AG971"/>
    <mergeCell ref="T972:Z972"/>
    <mergeCell ref="D1007:AE1007"/>
    <mergeCell ref="R990:AA990"/>
    <mergeCell ref="AH733:AJ733"/>
    <mergeCell ref="G723:J723"/>
    <mergeCell ref="O725:S725"/>
    <mergeCell ref="T723:W723"/>
    <mergeCell ref="K721:N721"/>
    <mergeCell ref="G667:R667"/>
    <mergeCell ref="AC731:AG731"/>
    <mergeCell ref="P671:R671"/>
    <mergeCell ref="H672:R672"/>
    <mergeCell ref="Z668:AK668"/>
    <mergeCell ref="G676:R676"/>
    <mergeCell ref="T736:W736"/>
    <mergeCell ref="O720:S720"/>
    <mergeCell ref="O733:S733"/>
    <mergeCell ref="N649:O649"/>
    <mergeCell ref="C1089:D1089"/>
    <mergeCell ref="C1090:D1090"/>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2" sqref="C1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2" t="s">
        <v>620</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 Tax-Exempt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554397</v>
      </c>
      <c r="C13" s="147">
        <v>554397</v>
      </c>
      <c r="D13" s="147"/>
      <c r="E13" s="147">
        <f>C13-SUM(F13:Q13)</f>
        <v>554397</v>
      </c>
      <c r="F13" s="147"/>
      <c r="G13" s="147"/>
      <c r="H13" s="147"/>
      <c r="I13" s="147"/>
      <c r="J13" s="147"/>
      <c r="K13" s="147"/>
      <c r="L13" s="147"/>
      <c r="M13" s="147"/>
      <c r="N13" s="147"/>
      <c r="O13" s="147"/>
      <c r="P13" s="147"/>
      <c r="Q13" s="147"/>
      <c r="R13" s="516">
        <f>SUM(E13:Q13)</f>
        <v>554397</v>
      </c>
      <c r="S13" s="147">
        <v>162525</v>
      </c>
      <c r="T13" s="147"/>
      <c r="U13" s="143"/>
    </row>
    <row r="14" spans="1:21" s="144" customFormat="1" ht="24">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400000</v>
      </c>
      <c r="C29" s="147">
        <v>400000</v>
      </c>
      <c r="D29" s="147"/>
      <c r="E29" s="147">
        <f>C29-SUM(F29:Q29)</f>
        <v>400000</v>
      </c>
      <c r="F29" s="147"/>
      <c r="G29" s="147"/>
      <c r="H29" s="147"/>
      <c r="I29" s="147"/>
      <c r="J29" s="147"/>
      <c r="K29" s="147"/>
      <c r="L29" s="147"/>
      <c r="M29" s="147"/>
      <c r="N29" s="147"/>
      <c r="O29" s="147"/>
      <c r="P29" s="147"/>
      <c r="Q29" s="147"/>
      <c r="R29" s="516">
        <f>SUM(E29:Q29)</f>
        <v>400000</v>
      </c>
      <c r="S29" s="147">
        <v>400000</v>
      </c>
      <c r="T29" s="147"/>
      <c r="U29" s="143"/>
    </row>
    <row r="30" spans="1:21" s="144" customFormat="1">
      <c r="A30" s="145" t="s">
        <v>598</v>
      </c>
      <c r="B30" s="146">
        <f t="shared" si="6"/>
        <v>30571880</v>
      </c>
      <c r="C30" s="147">
        <v>30571880</v>
      </c>
      <c r="D30" s="147"/>
      <c r="E30" s="147">
        <f>B30-SUM(F30:Q30)</f>
        <v>7509902</v>
      </c>
      <c r="F30" s="147">
        <f>F108</f>
        <v>23061978</v>
      </c>
      <c r="G30" s="147"/>
      <c r="H30" s="147"/>
      <c r="I30" s="147"/>
      <c r="J30" s="147"/>
      <c r="K30" s="147"/>
      <c r="L30" s="147"/>
      <c r="M30" s="147"/>
      <c r="N30" s="147"/>
      <c r="O30" s="147"/>
      <c r="P30" s="147"/>
      <c r="Q30" s="147"/>
      <c r="R30" s="516">
        <f t="shared" ref="R30:R37" si="7">SUM(E30:Q30)</f>
        <v>30571880</v>
      </c>
      <c r="S30" s="147">
        <v>30571880</v>
      </c>
      <c r="T30" s="147"/>
      <c r="U30" s="143"/>
    </row>
    <row r="31" spans="1:21" s="144" customFormat="1">
      <c r="A31" s="145" t="s">
        <v>599</v>
      </c>
      <c r="B31" s="146">
        <f t="shared" si="6"/>
        <v>2503500</v>
      </c>
      <c r="C31" s="147">
        <v>2503500</v>
      </c>
      <c r="D31" s="147"/>
      <c r="E31" s="147">
        <f>C31-SUM(F31:Q31)</f>
        <v>2503500</v>
      </c>
      <c r="F31" s="147"/>
      <c r="G31" s="147"/>
      <c r="H31" s="147"/>
      <c r="I31" s="147"/>
      <c r="J31" s="147"/>
      <c r="K31" s="147"/>
      <c r="L31" s="147"/>
      <c r="M31" s="147"/>
      <c r="N31" s="147"/>
      <c r="O31" s="147"/>
      <c r="P31" s="147"/>
      <c r="Q31" s="147"/>
      <c r="R31" s="516">
        <f t="shared" si="7"/>
        <v>2503500</v>
      </c>
      <c r="S31" s="147">
        <v>2503500</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1358247</v>
      </c>
      <c r="C33" s="147">
        <v>1358247</v>
      </c>
      <c r="D33" s="147"/>
      <c r="E33" s="147">
        <f t="shared" ref="E33:E37" si="8">C33-SUM(F33:Q33)</f>
        <v>1358247</v>
      </c>
      <c r="F33" s="147"/>
      <c r="G33" s="147"/>
      <c r="H33" s="147"/>
      <c r="I33" s="147"/>
      <c r="J33" s="147"/>
      <c r="K33" s="147"/>
      <c r="L33" s="147"/>
      <c r="M33" s="147"/>
      <c r="N33" s="147"/>
      <c r="O33" s="147"/>
      <c r="P33" s="147"/>
      <c r="Q33" s="147"/>
      <c r="R33" s="516">
        <f t="shared" si="7"/>
        <v>1358247</v>
      </c>
      <c r="S33" s="147">
        <v>1358247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215156</v>
      </c>
      <c r="C35" s="147">
        <v>215156</v>
      </c>
      <c r="D35" s="147"/>
      <c r="E35" s="147">
        <f t="shared" si="8"/>
        <v>215156</v>
      </c>
      <c r="F35" s="147"/>
      <c r="G35" s="147"/>
      <c r="H35" s="147"/>
      <c r="I35" s="147"/>
      <c r="J35" s="147"/>
      <c r="K35" s="147"/>
      <c r="L35" s="147"/>
      <c r="M35" s="147"/>
      <c r="N35" s="147"/>
      <c r="O35" s="147"/>
      <c r="P35" s="147"/>
      <c r="Q35" s="147"/>
      <c r="R35" s="516">
        <f t="shared" si="7"/>
        <v>215156</v>
      </c>
      <c r="S35" s="147">
        <v>215156</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2741</v>
      </c>
      <c r="B37" s="146">
        <f t="shared" si="6"/>
        <v>192423</v>
      </c>
      <c r="C37" s="147">
        <v>192423</v>
      </c>
      <c r="D37" s="147"/>
      <c r="E37" s="147">
        <f t="shared" si="8"/>
        <v>192423</v>
      </c>
      <c r="F37" s="147"/>
      <c r="G37" s="147"/>
      <c r="H37" s="147"/>
      <c r="I37" s="147"/>
      <c r="J37" s="147"/>
      <c r="K37" s="147"/>
      <c r="L37" s="147"/>
      <c r="M37" s="147"/>
      <c r="N37" s="147"/>
      <c r="O37" s="147"/>
      <c r="P37" s="147"/>
      <c r="Q37" s="147"/>
      <c r="R37" s="516">
        <f t="shared" si="7"/>
        <v>192423</v>
      </c>
      <c r="S37" s="147">
        <v>192423</v>
      </c>
      <c r="T37" s="147"/>
      <c r="U37" s="143"/>
    </row>
    <row r="38" spans="1:21" s="144" customFormat="1">
      <c r="A38" s="149" t="s">
        <v>143</v>
      </c>
      <c r="B38" s="146">
        <f t="shared" si="6"/>
        <v>35241206</v>
      </c>
      <c r="C38" s="146">
        <f>SUM(C29:C37)</f>
        <v>35241206</v>
      </c>
      <c r="D38" s="146">
        <f t="shared" ref="D38:Q38" si="9">SUM(D29:D37)</f>
        <v>0</v>
      </c>
      <c r="E38" s="146">
        <f>SUM(E29:E37)</f>
        <v>12179228</v>
      </c>
      <c r="F38" s="146">
        <f t="shared" si="9"/>
        <v>23061978</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35241206</v>
      </c>
      <c r="S38" s="150">
        <f>SUM(S29:S37)</f>
        <v>35241206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710000</v>
      </c>
      <c r="C40" s="147">
        <v>710000</v>
      </c>
      <c r="D40" s="147"/>
      <c r="E40" s="147">
        <f>C40-SUM(F40:Q40)</f>
        <v>710000</v>
      </c>
      <c r="F40" s="147"/>
      <c r="G40" s="147"/>
      <c r="H40" s="147"/>
      <c r="I40" s="147"/>
      <c r="J40" s="147"/>
      <c r="K40" s="147"/>
      <c r="L40" s="147"/>
      <c r="M40" s="147"/>
      <c r="N40" s="147"/>
      <c r="O40" s="147"/>
      <c r="P40" s="147"/>
      <c r="Q40" s="147"/>
      <c r="R40" s="516">
        <f>SUM(E40:Q40)</f>
        <v>710000</v>
      </c>
      <c r="S40" s="147">
        <v>710000</v>
      </c>
      <c r="T40" s="147"/>
      <c r="U40" s="143"/>
    </row>
    <row r="41" spans="1:21" s="144" customFormat="1">
      <c r="A41" s="145" t="s">
        <v>146</v>
      </c>
      <c r="B41" s="146">
        <f>SUM(C41+D41)</f>
        <v>240000</v>
      </c>
      <c r="C41" s="147">
        <v>240000</v>
      </c>
      <c r="D41" s="147"/>
      <c r="E41" s="147">
        <f>C41-SUM(F41:Q41)</f>
        <v>240000</v>
      </c>
      <c r="F41" s="147"/>
      <c r="G41" s="147"/>
      <c r="H41" s="147"/>
      <c r="I41" s="147"/>
      <c r="J41" s="147"/>
      <c r="K41" s="147"/>
      <c r="L41" s="147"/>
      <c r="M41" s="147"/>
      <c r="N41" s="147"/>
      <c r="O41" s="147"/>
      <c r="P41" s="147"/>
      <c r="Q41" s="147"/>
      <c r="R41" s="516">
        <f>SUM(E41:Q41)</f>
        <v>240000</v>
      </c>
      <c r="S41" s="147">
        <v>240000</v>
      </c>
      <c r="T41" s="147"/>
      <c r="U41" s="143"/>
    </row>
    <row r="42" spans="1:21" s="144" customFormat="1">
      <c r="A42" s="149" t="s">
        <v>147</v>
      </c>
      <c r="B42" s="146">
        <f>SUM(C42:D42)</f>
        <v>950000</v>
      </c>
      <c r="C42" s="146">
        <f>SUM(C39:C41)</f>
        <v>950000</v>
      </c>
      <c r="D42" s="146">
        <f>SUM(D39:D41)</f>
        <v>0</v>
      </c>
      <c r="E42" s="146">
        <f t="shared" ref="E42:T42" si="10">SUM(E40:E41)</f>
        <v>950000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950000</v>
      </c>
      <c r="S42" s="150">
        <f t="shared" si="10"/>
        <v>950000</v>
      </c>
      <c r="T42" s="150">
        <f t="shared" si="10"/>
        <v>0</v>
      </c>
      <c r="U42" s="143"/>
    </row>
    <row r="43" spans="1:21" s="144" customFormat="1">
      <c r="A43" s="149" t="s">
        <v>148</v>
      </c>
      <c r="B43" s="146">
        <f>SUM(C43:D43)</f>
        <v>1618800</v>
      </c>
      <c r="C43" s="147">
        <v>1618800</v>
      </c>
      <c r="D43" s="147"/>
      <c r="E43" s="147">
        <f>C43-SUM(F43:Q43)</f>
        <v>1618800</v>
      </c>
      <c r="F43" s="147"/>
      <c r="G43" s="147"/>
      <c r="H43" s="147"/>
      <c r="I43" s="147"/>
      <c r="J43" s="147"/>
      <c r="K43" s="147"/>
      <c r="L43" s="147"/>
      <c r="M43" s="147"/>
      <c r="N43" s="147"/>
      <c r="O43" s="147"/>
      <c r="P43" s="147"/>
      <c r="Q43" s="147"/>
      <c r="R43" s="516">
        <f>SUM(E43:Q43)</f>
        <v>1618800</v>
      </c>
      <c r="S43" s="147">
        <v>1618800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2320369</v>
      </c>
      <c r="C45" s="147">
        <v>2320369</v>
      </c>
      <c r="D45" s="147"/>
      <c r="E45" s="147">
        <f>C45-SUM(F45:Q45)</f>
        <v>2320369</v>
      </c>
      <c r="F45" s="147"/>
      <c r="G45" s="147"/>
      <c r="H45" s="147"/>
      <c r="I45" s="147"/>
      <c r="J45" s="147"/>
      <c r="K45" s="147"/>
      <c r="L45" s="147"/>
      <c r="M45" s="147"/>
      <c r="N45" s="147"/>
      <c r="O45" s="147"/>
      <c r="P45" s="147"/>
      <c r="Q45" s="147"/>
      <c r="R45" s="516">
        <f t="shared" ref="R45:R53" si="12">SUM(E45:Q45)</f>
        <v>2320369</v>
      </c>
      <c r="S45" s="147">
        <v>2320369</v>
      </c>
      <c r="T45" s="147"/>
      <c r="U45" s="143"/>
    </row>
    <row r="46" spans="1:21" s="144" customFormat="1">
      <c r="A46" s="145" t="s">
        <v>151</v>
      </c>
      <c r="B46" s="146">
        <f t="shared" si="11"/>
        <v>308025</v>
      </c>
      <c r="C46" s="147">
        <v>308025</v>
      </c>
      <c r="D46" s="147"/>
      <c r="E46" s="147">
        <f t="shared" ref="E46:E53" si="13">C46-SUM(F46:Q46)</f>
        <v>308025</v>
      </c>
      <c r="F46" s="147"/>
      <c r="G46" s="147"/>
      <c r="H46" s="147"/>
      <c r="I46" s="147"/>
      <c r="J46" s="147"/>
      <c r="K46" s="147"/>
      <c r="L46" s="147"/>
      <c r="M46" s="147"/>
      <c r="N46" s="147"/>
      <c r="O46" s="147"/>
      <c r="P46" s="147"/>
      <c r="Q46" s="147"/>
      <c r="R46" s="516">
        <f t="shared" si="12"/>
        <v>308025</v>
      </c>
      <c r="S46" s="147">
        <v>243339</v>
      </c>
      <c r="T46" s="147"/>
      <c r="U46" s="143"/>
    </row>
    <row r="47" spans="1:21" s="144" customFormat="1">
      <c r="A47" s="186" t="s">
        <v>152</v>
      </c>
      <c r="B47" s="146">
        <f t="shared" si="11"/>
        <v>947400</v>
      </c>
      <c r="C47" s="147">
        <v>947400</v>
      </c>
      <c r="D47" s="147"/>
      <c r="E47" s="147">
        <f t="shared" si="13"/>
        <v>947400</v>
      </c>
      <c r="F47" s="147"/>
      <c r="G47" s="147"/>
      <c r="H47" s="147"/>
      <c r="I47" s="147"/>
      <c r="J47" s="147"/>
      <c r="K47" s="147"/>
      <c r="L47" s="147"/>
      <c r="M47" s="147"/>
      <c r="N47" s="147"/>
      <c r="O47" s="147"/>
      <c r="P47" s="147"/>
      <c r="Q47" s="147"/>
      <c r="R47" s="516">
        <f t="shared" si="12"/>
        <v>947400</v>
      </c>
      <c r="S47" s="147">
        <v>758190</v>
      </c>
      <c r="T47" s="147"/>
      <c r="U47" s="143"/>
    </row>
    <row r="48" spans="1:21" s="144" customFormat="1">
      <c r="A48" s="145" t="s">
        <v>153</v>
      </c>
      <c r="B48" s="146">
        <f t="shared" si="11"/>
        <v>208340</v>
      </c>
      <c r="C48" s="147">
        <v>208340</v>
      </c>
      <c r="D48" s="147"/>
      <c r="E48" s="147">
        <f t="shared" si="13"/>
        <v>208340</v>
      </c>
      <c r="F48" s="147"/>
      <c r="G48" s="147"/>
      <c r="H48" s="147"/>
      <c r="I48" s="147"/>
      <c r="J48" s="147"/>
      <c r="K48" s="147"/>
      <c r="L48" s="147"/>
      <c r="M48" s="147"/>
      <c r="N48" s="147"/>
      <c r="O48" s="147"/>
      <c r="P48" s="147"/>
      <c r="Q48" s="147"/>
      <c r="R48" s="516">
        <f t="shared" si="12"/>
        <v>208340</v>
      </c>
      <c r="S48" s="147">
        <v>208340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1"/>
        <v>104000</v>
      </c>
      <c r="C50" s="147">
        <v>104000</v>
      </c>
      <c r="D50" s="147"/>
      <c r="E50" s="147">
        <f t="shared" si="13"/>
        <v>104000</v>
      </c>
      <c r="F50" s="147"/>
      <c r="G50" s="147"/>
      <c r="H50" s="147"/>
      <c r="I50" s="147"/>
      <c r="J50" s="147"/>
      <c r="K50" s="147"/>
      <c r="L50" s="147"/>
      <c r="M50" s="147"/>
      <c r="N50" s="147"/>
      <c r="O50" s="147"/>
      <c r="P50" s="147"/>
      <c r="Q50" s="147"/>
      <c r="R50" s="516">
        <f t="shared" si="12"/>
        <v>104000</v>
      </c>
      <c r="S50" s="147">
        <v>104000</v>
      </c>
      <c r="T50" s="147"/>
      <c r="U50" s="143"/>
    </row>
    <row r="51" spans="1:21" s="144" customFormat="1">
      <c r="A51" s="283" t="s">
        <v>154</v>
      </c>
      <c r="B51" s="146">
        <f t="shared" si="11"/>
        <v>50000</v>
      </c>
      <c r="C51" s="147">
        <v>50000</v>
      </c>
      <c r="D51" s="147"/>
      <c r="E51" s="147">
        <f t="shared" si="13"/>
        <v>50000</v>
      </c>
      <c r="F51" s="147"/>
      <c r="G51" s="147"/>
      <c r="H51" s="147"/>
      <c r="I51" s="147"/>
      <c r="J51" s="147"/>
      <c r="K51" s="147"/>
      <c r="L51" s="147"/>
      <c r="M51" s="147"/>
      <c r="N51" s="147"/>
      <c r="O51" s="147"/>
      <c r="P51" s="147"/>
      <c r="Q51" s="147"/>
      <c r="R51" s="516">
        <f t="shared" si="12"/>
        <v>50000</v>
      </c>
      <c r="S51" s="147"/>
      <c r="T51" s="147"/>
      <c r="U51" s="143"/>
    </row>
    <row r="52" spans="1:21" s="144" customFormat="1">
      <c r="A52" s="145" t="s">
        <v>155</v>
      </c>
      <c r="B52" s="146">
        <f t="shared" si="11"/>
        <v>1250000</v>
      </c>
      <c r="C52" s="147">
        <v>1250000</v>
      </c>
      <c r="D52" s="147"/>
      <c r="E52" s="147">
        <f t="shared" si="13"/>
        <v>1250000</v>
      </c>
      <c r="F52" s="147"/>
      <c r="G52" s="147"/>
      <c r="H52" s="147"/>
      <c r="I52" s="147"/>
      <c r="J52" s="147"/>
      <c r="K52" s="147"/>
      <c r="L52" s="147"/>
      <c r="M52" s="147"/>
      <c r="N52" s="147"/>
      <c r="O52" s="147"/>
      <c r="P52" s="147"/>
      <c r="Q52" s="147"/>
      <c r="R52" s="516">
        <f t="shared" si="12"/>
        <v>1250000</v>
      </c>
      <c r="S52" s="147">
        <v>1250000</v>
      </c>
      <c r="T52" s="147"/>
      <c r="U52" s="143"/>
    </row>
    <row r="53" spans="1:21" s="144" customFormat="1">
      <c r="A53" s="1149" t="s">
        <v>2745</v>
      </c>
      <c r="B53" s="146">
        <f t="shared" si="11"/>
        <v>919707</v>
      </c>
      <c r="C53" s="147">
        <v>919707</v>
      </c>
      <c r="D53" s="147"/>
      <c r="E53" s="147">
        <f t="shared" si="13"/>
        <v>919707</v>
      </c>
      <c r="F53" s="147"/>
      <c r="G53" s="147"/>
      <c r="H53" s="147"/>
      <c r="I53" s="147"/>
      <c r="J53" s="147"/>
      <c r="K53" s="147"/>
      <c r="L53" s="147"/>
      <c r="M53" s="147"/>
      <c r="N53" s="147"/>
      <c r="O53" s="147"/>
      <c r="P53" s="147"/>
      <c r="Q53" s="147"/>
      <c r="R53" s="516">
        <f t="shared" si="12"/>
        <v>919707</v>
      </c>
      <c r="S53" s="147">
        <v>0</v>
      </c>
      <c r="T53" s="147"/>
      <c r="U53" s="143"/>
    </row>
    <row r="54" spans="1:21" s="153" customFormat="1">
      <c r="A54" s="149" t="s">
        <v>157</v>
      </c>
      <c r="B54" s="150">
        <f>SUM(C54:D54)</f>
        <v>6107841</v>
      </c>
      <c r="C54" s="150">
        <f t="shared" ref="C54:T54" si="14">SUM(C45:C53)</f>
        <v>6107841</v>
      </c>
      <c r="D54" s="150">
        <f t="shared" si="14"/>
        <v>0</v>
      </c>
      <c r="E54" s="150">
        <f t="shared" si="14"/>
        <v>6107841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6107841</v>
      </c>
      <c r="S54" s="150">
        <f t="shared" si="14"/>
        <v>4884238</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172964</v>
      </c>
      <c r="C56" s="147">
        <v>172964</v>
      </c>
      <c r="D56" s="147"/>
      <c r="E56" s="147">
        <f>C56-SUM(F56:Q56)</f>
        <v>172964</v>
      </c>
      <c r="F56" s="147"/>
      <c r="G56" s="147"/>
      <c r="H56" s="147"/>
      <c r="I56" s="147"/>
      <c r="J56" s="147"/>
      <c r="K56" s="147"/>
      <c r="L56" s="147"/>
      <c r="M56" s="147"/>
      <c r="N56" s="147"/>
      <c r="O56" s="147"/>
      <c r="P56" s="147"/>
      <c r="Q56" s="147"/>
      <c r="R56" s="516">
        <f t="shared" ref="R56:R61" si="16">SUM(E56:Q56)</f>
        <v>172964</v>
      </c>
      <c r="S56" s="148"/>
      <c r="T56" s="148"/>
      <c r="U56" s="143"/>
    </row>
    <row r="57" spans="1:21" s="192" customFormat="1">
      <c r="A57" s="186" t="s">
        <v>152</v>
      </c>
      <c r="B57" s="193">
        <f t="shared" si="15"/>
        <v>26000</v>
      </c>
      <c r="C57" s="190">
        <v>26000</v>
      </c>
      <c r="D57" s="190"/>
      <c r="E57" s="190">
        <f t="shared" ref="E57:E61" si="17">C57-SUM(F57:Q57)</f>
        <v>26000</v>
      </c>
      <c r="F57" s="190"/>
      <c r="G57" s="190"/>
      <c r="H57" s="190"/>
      <c r="I57" s="190"/>
      <c r="J57" s="190"/>
      <c r="K57" s="190"/>
      <c r="L57" s="190"/>
      <c r="M57" s="190"/>
      <c r="N57" s="190"/>
      <c r="O57" s="190"/>
      <c r="P57" s="190"/>
      <c r="Q57" s="190"/>
      <c r="R57" s="516">
        <f t="shared" si="16"/>
        <v>26000</v>
      </c>
      <c r="S57" s="194"/>
      <c r="T57" s="194"/>
      <c r="U57" s="191"/>
    </row>
    <row r="58" spans="1:21" s="144" customFormat="1">
      <c r="A58" s="145" t="s">
        <v>156</v>
      </c>
      <c r="B58" s="146">
        <f t="shared" si="15"/>
        <v>30000</v>
      </c>
      <c r="C58" s="147">
        <v>30000</v>
      </c>
      <c r="D58" s="147"/>
      <c r="E58" s="147">
        <f t="shared" si="17"/>
        <v>30000</v>
      </c>
      <c r="F58" s="147"/>
      <c r="G58" s="147"/>
      <c r="H58" s="147"/>
      <c r="I58" s="147"/>
      <c r="J58" s="147"/>
      <c r="K58" s="147"/>
      <c r="L58" s="147"/>
      <c r="M58" s="147"/>
      <c r="N58" s="147"/>
      <c r="O58" s="147"/>
      <c r="P58" s="147"/>
      <c r="Q58" s="147"/>
      <c r="R58" s="516">
        <f t="shared" si="16"/>
        <v>30000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ht="24">
      <c r="A61" s="1149" t="s">
        <v>2746</v>
      </c>
      <c r="B61" s="146">
        <f t="shared" si="15"/>
        <v>753076</v>
      </c>
      <c r="C61" s="147">
        <v>753076</v>
      </c>
      <c r="D61" s="147"/>
      <c r="E61" s="147">
        <f t="shared" si="17"/>
        <v>753076</v>
      </c>
      <c r="F61" s="147"/>
      <c r="G61" s="147"/>
      <c r="H61" s="147"/>
      <c r="I61" s="147"/>
      <c r="J61" s="147"/>
      <c r="K61" s="147"/>
      <c r="L61" s="147"/>
      <c r="M61" s="147"/>
      <c r="N61" s="147"/>
      <c r="O61" s="147"/>
      <c r="P61" s="147"/>
      <c r="Q61" s="147"/>
      <c r="R61" s="516">
        <f t="shared" si="16"/>
        <v>753076</v>
      </c>
      <c r="S61" s="148"/>
      <c r="T61" s="148"/>
      <c r="U61" s="143"/>
    </row>
    <row r="62" spans="1:21" s="144" customFormat="1" ht="13.7" customHeight="1">
      <c r="A62" s="149" t="s">
        <v>300</v>
      </c>
      <c r="B62" s="146">
        <f>SUM(C62:D62)</f>
        <v>982040</v>
      </c>
      <c r="C62" s="146">
        <f t="shared" ref="C62:R62" si="18">SUM(C56:C61)</f>
        <v>982040</v>
      </c>
      <c r="D62" s="146">
        <f t="shared" si="18"/>
        <v>0</v>
      </c>
      <c r="E62" s="146">
        <f t="shared" si="18"/>
        <v>982040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982040</v>
      </c>
      <c r="S62" s="148"/>
      <c r="T62" s="148"/>
      <c r="U62" s="143"/>
    </row>
    <row r="63" spans="1:21" s="144" customFormat="1">
      <c r="A63" s="154" t="s">
        <v>301</v>
      </c>
      <c r="B63" s="146">
        <f t="shared" ref="B63:R63" si="19">SUM(B8+B11+B13+B14+B15+B26+B27+B38+B42+B43+B54+B62)</f>
        <v>45454284</v>
      </c>
      <c r="C63" s="146">
        <f t="shared" si="19"/>
        <v>45454284</v>
      </c>
      <c r="D63" s="146">
        <f t="shared" si="19"/>
        <v>0</v>
      </c>
      <c r="E63" s="146">
        <f t="shared" si="19"/>
        <v>22392306</v>
      </c>
      <c r="F63" s="146">
        <f t="shared" si="19"/>
        <v>23061978</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45454284</v>
      </c>
      <c r="S63" s="146">
        <f>SUM(S10+S13+S14+S15+S26+S27+S38+S42+S43+S54)</f>
        <v>42856769</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f>C65-SUM(F65:Q65)</f>
        <v>150000</v>
      </c>
      <c r="F65" s="147"/>
      <c r="G65" s="147"/>
      <c r="H65" s="147"/>
      <c r="I65" s="147"/>
      <c r="J65" s="147"/>
      <c r="K65" s="147"/>
      <c r="L65" s="147"/>
      <c r="M65" s="147"/>
      <c r="N65" s="147"/>
      <c r="O65" s="147"/>
      <c r="P65" s="147"/>
      <c r="Q65" s="147"/>
      <c r="R65" s="516">
        <f>SUM(E65:Q65)</f>
        <v>150000</v>
      </c>
      <c r="S65" s="147">
        <v>85000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f t="shared" ref="E68:E69" si="20">C68-SUM(F68:Q68)</f>
        <v>0</v>
      </c>
      <c r="F68" s="147"/>
      <c r="G68" s="147"/>
      <c r="H68" s="147"/>
      <c r="I68" s="147"/>
      <c r="J68" s="147"/>
      <c r="K68" s="147"/>
      <c r="L68" s="147"/>
      <c r="M68" s="147"/>
      <c r="N68" s="147"/>
      <c r="O68" s="147"/>
      <c r="P68" s="147"/>
      <c r="Q68" s="147"/>
      <c r="R68" s="516">
        <f>SUM(E68:Q68)</f>
        <v>0</v>
      </c>
      <c r="S68" s="147"/>
      <c r="T68" s="147"/>
      <c r="U68" s="143"/>
    </row>
    <row r="69" spans="1:21" s="144" customFormat="1">
      <c r="A69" s="1149" t="s">
        <v>2742</v>
      </c>
      <c r="B69" s="146">
        <f>SUM(C69+D69)</f>
        <v>440000</v>
      </c>
      <c r="C69" s="147">
        <v>440000</v>
      </c>
      <c r="D69" s="147"/>
      <c r="E69" s="147">
        <f t="shared" si="20"/>
        <v>440000</v>
      </c>
      <c r="F69" s="147"/>
      <c r="G69" s="147"/>
      <c r="H69" s="147"/>
      <c r="I69" s="147"/>
      <c r="J69" s="147"/>
      <c r="K69" s="147"/>
      <c r="L69" s="147"/>
      <c r="M69" s="147"/>
      <c r="N69" s="147"/>
      <c r="O69" s="147"/>
      <c r="P69" s="147"/>
      <c r="Q69" s="147"/>
      <c r="R69" s="516">
        <f>SUM(E69:Q69)</f>
        <v>440000</v>
      </c>
      <c r="S69" s="147">
        <v>405000</v>
      </c>
      <c r="T69" s="147"/>
      <c r="U69" s="143"/>
    </row>
    <row r="70" spans="1:21" s="144" customFormat="1">
      <c r="A70" s="149" t="s">
        <v>1643</v>
      </c>
      <c r="B70" s="146">
        <f>SUM(C70:D70)</f>
        <v>590000</v>
      </c>
      <c r="C70" s="146">
        <f>SUM(C65:C69)</f>
        <v>590000</v>
      </c>
      <c r="D70" s="146">
        <f>SUM(D65:D69)</f>
        <v>0</v>
      </c>
      <c r="E70" s="146">
        <f t="shared" ref="E70:T70" si="21">SUM(E65:E69)</f>
        <v>590000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590000</v>
      </c>
      <c r="S70" s="150">
        <f t="shared" si="21"/>
        <v>490000</v>
      </c>
      <c r="T70" s="150">
        <f t="shared" si="21"/>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730778</v>
      </c>
      <c r="C75" s="147">
        <v>730778</v>
      </c>
      <c r="D75" s="147"/>
      <c r="E75" s="147">
        <f>C75-SUM(F75:Q75)</f>
        <v>730778</v>
      </c>
      <c r="F75" s="147"/>
      <c r="G75" s="147"/>
      <c r="H75" s="147"/>
      <c r="I75" s="147"/>
      <c r="J75" s="147"/>
      <c r="K75" s="147"/>
      <c r="L75" s="147"/>
      <c r="M75" s="147"/>
      <c r="N75" s="147"/>
      <c r="O75" s="147"/>
      <c r="P75" s="147"/>
      <c r="Q75" s="147"/>
      <c r="R75" s="516">
        <f>SUM(E75:Q75)</f>
        <v>730778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730778</v>
      </c>
      <c r="C77" s="146">
        <f>SUM(C72:C76)</f>
        <v>730778</v>
      </c>
      <c r="D77" s="146">
        <f>SUM(D72:D76)</f>
        <v>0</v>
      </c>
      <c r="E77" s="146">
        <f t="shared" ref="E77:Q77" si="22">SUM(E72:E76)</f>
        <v>730778</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730778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1742060</v>
      </c>
      <c r="C79" s="147">
        <v>1742060</v>
      </c>
      <c r="D79" s="147"/>
      <c r="E79" s="147">
        <f>C79-SUM(F79:Q79)</f>
        <v>1742060</v>
      </c>
      <c r="F79" s="147"/>
      <c r="G79" s="147"/>
      <c r="H79" s="147"/>
      <c r="I79" s="147"/>
      <c r="J79" s="147"/>
      <c r="K79" s="147"/>
      <c r="L79" s="147"/>
      <c r="M79" s="147"/>
      <c r="N79" s="147"/>
      <c r="O79" s="147"/>
      <c r="P79" s="147"/>
      <c r="Q79" s="147"/>
      <c r="R79" s="516">
        <f>SUM(E79:Q79)</f>
        <v>1742060</v>
      </c>
      <c r="S79" s="147">
        <v>1742060</v>
      </c>
      <c r="T79" s="147"/>
      <c r="U79" s="143"/>
    </row>
    <row r="80" spans="1:21" s="144" customFormat="1">
      <c r="A80" s="283" t="s">
        <v>58</v>
      </c>
      <c r="B80" s="146">
        <f>SUM(C80:D80)</f>
        <v>700000</v>
      </c>
      <c r="C80" s="147">
        <v>700000</v>
      </c>
      <c r="D80" s="147"/>
      <c r="E80" s="147">
        <f>C80-SUM(F80:Q80)</f>
        <v>700000</v>
      </c>
      <c r="F80" s="147"/>
      <c r="G80" s="147"/>
      <c r="H80" s="147"/>
      <c r="I80" s="147"/>
      <c r="J80" s="147"/>
      <c r="K80" s="147"/>
      <c r="L80" s="147"/>
      <c r="M80" s="147"/>
      <c r="N80" s="147"/>
      <c r="O80" s="147"/>
      <c r="P80" s="147"/>
      <c r="Q80" s="147"/>
      <c r="R80" s="516">
        <f>SUM(E80:Q80)</f>
        <v>700000</v>
      </c>
      <c r="S80" s="147">
        <v>700000</v>
      </c>
      <c r="T80" s="147"/>
      <c r="U80" s="143"/>
    </row>
    <row r="81" spans="1:21" s="144" customFormat="1">
      <c r="A81" s="149" t="s">
        <v>1207</v>
      </c>
      <c r="B81" s="146">
        <f>SUM(C81:D81)</f>
        <v>2442060</v>
      </c>
      <c r="C81" s="509">
        <f>SUM(C79:C80)</f>
        <v>2442060</v>
      </c>
      <c r="D81" s="509">
        <f t="shared" ref="D81:T81" si="23">SUM(D79:D80)</f>
        <v>0</v>
      </c>
      <c r="E81" s="509">
        <f t="shared" si="23"/>
        <v>2442060</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2442060</v>
      </c>
      <c r="S81" s="509">
        <f t="shared" si="23"/>
        <v>2442060</v>
      </c>
      <c r="T81" s="509">
        <f t="shared" si="23"/>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4">SUM(C83+D83)</f>
        <v>141330</v>
      </c>
      <c r="C83" s="147">
        <v>141330</v>
      </c>
      <c r="D83" s="147"/>
      <c r="E83" s="147">
        <f>C83-SUM(F83:Q83)</f>
        <v>141330</v>
      </c>
      <c r="F83" s="147"/>
      <c r="G83" s="147"/>
      <c r="H83" s="147"/>
      <c r="I83" s="147"/>
      <c r="J83" s="147"/>
      <c r="K83" s="147"/>
      <c r="L83" s="147"/>
      <c r="M83" s="147"/>
      <c r="N83" s="147"/>
      <c r="O83" s="147"/>
      <c r="P83" s="147"/>
      <c r="Q83" s="147"/>
      <c r="R83" s="516">
        <f t="shared" ref="R83:R95" si="25">SUM(E83:Q83)</f>
        <v>141330</v>
      </c>
      <c r="S83" s="148"/>
      <c r="T83" s="148"/>
      <c r="U83" s="143"/>
    </row>
    <row r="84" spans="1:21" s="144" customFormat="1">
      <c r="A84" s="145" t="s">
        <v>766</v>
      </c>
      <c r="B84" s="146">
        <f t="shared" si="24"/>
        <v>9300</v>
      </c>
      <c r="C84" s="147">
        <v>9300</v>
      </c>
      <c r="D84" s="147"/>
      <c r="E84" s="147">
        <f t="shared" ref="E84:E94" si="26">C84-SUM(F84:Q84)</f>
        <v>9300</v>
      </c>
      <c r="F84" s="147"/>
      <c r="G84" s="147"/>
      <c r="H84" s="147"/>
      <c r="I84" s="147"/>
      <c r="J84" s="147"/>
      <c r="K84" s="147"/>
      <c r="L84" s="147"/>
      <c r="M84" s="147"/>
      <c r="N84" s="147"/>
      <c r="O84" s="147"/>
      <c r="P84" s="147"/>
      <c r="Q84" s="147"/>
      <c r="R84" s="516">
        <f t="shared" si="25"/>
        <v>9300</v>
      </c>
      <c r="S84" s="147">
        <v>9300</v>
      </c>
      <c r="T84" s="147"/>
      <c r="U84" s="143"/>
    </row>
    <row r="85" spans="1:21" s="144" customFormat="1">
      <c r="A85" s="145" t="s">
        <v>767</v>
      </c>
      <c r="B85" s="146">
        <f t="shared" si="24"/>
        <v>180985</v>
      </c>
      <c r="C85" s="147">
        <v>180985</v>
      </c>
      <c r="D85" s="147"/>
      <c r="E85" s="147">
        <f t="shared" si="26"/>
        <v>180985</v>
      </c>
      <c r="F85" s="147"/>
      <c r="G85" s="147"/>
      <c r="H85" s="147"/>
      <c r="I85" s="147"/>
      <c r="J85" s="147"/>
      <c r="K85" s="147"/>
      <c r="L85" s="147"/>
      <c r="M85" s="147"/>
      <c r="N85" s="147"/>
      <c r="O85" s="147"/>
      <c r="P85" s="147"/>
      <c r="Q85" s="147"/>
      <c r="R85" s="516">
        <f t="shared" si="25"/>
        <v>180985</v>
      </c>
      <c r="S85" s="147">
        <v>180985</v>
      </c>
      <c r="T85" s="147"/>
      <c r="U85" s="143"/>
    </row>
    <row r="86" spans="1:21" s="144" customFormat="1">
      <c r="A86" s="145" t="s">
        <v>768</v>
      </c>
      <c r="B86" s="146">
        <f t="shared" si="24"/>
        <v>1213117</v>
      </c>
      <c r="C86" s="147">
        <v>1213117</v>
      </c>
      <c r="D86" s="147"/>
      <c r="E86" s="147">
        <f t="shared" si="26"/>
        <v>1213117</v>
      </c>
      <c r="F86" s="147"/>
      <c r="G86" s="147"/>
      <c r="H86" s="147"/>
      <c r="I86" s="147"/>
      <c r="J86" s="147"/>
      <c r="K86" s="147"/>
      <c r="L86" s="147"/>
      <c r="M86" s="147"/>
      <c r="N86" s="147"/>
      <c r="O86" s="147"/>
      <c r="P86" s="147"/>
      <c r="Q86" s="147"/>
      <c r="R86" s="516">
        <f t="shared" si="25"/>
        <v>1213117</v>
      </c>
      <c r="S86" s="147">
        <v>1213117</v>
      </c>
      <c r="T86" s="147"/>
      <c r="U86" s="143"/>
    </row>
    <row r="87" spans="1:21" s="144" customFormat="1">
      <c r="A87" s="145" t="s">
        <v>769</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770</v>
      </c>
      <c r="B88" s="146">
        <f t="shared" si="24"/>
        <v>157000</v>
      </c>
      <c r="C88" s="147">
        <v>157000</v>
      </c>
      <c r="D88" s="147"/>
      <c r="E88" s="147">
        <f t="shared" si="26"/>
        <v>157000</v>
      </c>
      <c r="F88" s="147"/>
      <c r="G88" s="147"/>
      <c r="H88" s="147"/>
      <c r="I88" s="147"/>
      <c r="J88" s="147"/>
      <c r="K88" s="147"/>
      <c r="L88" s="147"/>
      <c r="M88" s="147"/>
      <c r="N88" s="147"/>
      <c r="O88" s="147"/>
      <c r="P88" s="147"/>
      <c r="Q88" s="147"/>
      <c r="R88" s="516">
        <f t="shared" si="25"/>
        <v>157000</v>
      </c>
      <c r="S88" s="148"/>
      <c r="T88" s="148"/>
      <c r="U88" s="143"/>
    </row>
    <row r="89" spans="1:21" s="144" customFormat="1">
      <c r="A89" s="145" t="s">
        <v>771</v>
      </c>
      <c r="B89" s="146">
        <f t="shared" si="24"/>
        <v>474000</v>
      </c>
      <c r="C89" s="147">
        <v>474000</v>
      </c>
      <c r="D89" s="147"/>
      <c r="E89" s="147">
        <f t="shared" si="26"/>
        <v>474000</v>
      </c>
      <c r="F89" s="147"/>
      <c r="G89" s="147"/>
      <c r="H89" s="147"/>
      <c r="I89" s="147"/>
      <c r="J89" s="147"/>
      <c r="K89" s="147"/>
      <c r="L89" s="147"/>
      <c r="M89" s="147"/>
      <c r="N89" s="147"/>
      <c r="O89" s="147"/>
      <c r="P89" s="147"/>
      <c r="Q89" s="147"/>
      <c r="R89" s="516">
        <f t="shared" si="25"/>
        <v>474000</v>
      </c>
      <c r="S89" s="147">
        <v>230000</v>
      </c>
      <c r="T89" s="147"/>
      <c r="U89" s="143"/>
    </row>
    <row r="90" spans="1:21" s="144" customFormat="1">
      <c r="A90" s="145" t="s">
        <v>772</v>
      </c>
      <c r="B90" s="146">
        <f t="shared" si="24"/>
        <v>18500</v>
      </c>
      <c r="C90" s="147">
        <v>18500</v>
      </c>
      <c r="D90" s="147"/>
      <c r="E90" s="147">
        <f t="shared" si="26"/>
        <v>18500</v>
      </c>
      <c r="F90" s="147"/>
      <c r="G90" s="147"/>
      <c r="H90" s="147"/>
      <c r="I90" s="147"/>
      <c r="J90" s="147"/>
      <c r="K90" s="147"/>
      <c r="L90" s="147"/>
      <c r="M90" s="147"/>
      <c r="N90" s="147"/>
      <c r="O90" s="147"/>
      <c r="P90" s="147"/>
      <c r="Q90" s="147"/>
      <c r="R90" s="516">
        <f t="shared" si="25"/>
        <v>18500</v>
      </c>
      <c r="S90" s="147">
        <v>18500</v>
      </c>
      <c r="T90" s="147"/>
      <c r="U90" s="143"/>
    </row>
    <row r="91" spans="1:21" s="144" customFormat="1">
      <c r="A91" s="145" t="s">
        <v>371</v>
      </c>
      <c r="B91" s="146">
        <f t="shared" si="24"/>
        <v>60000</v>
      </c>
      <c r="C91" s="147">
        <v>60000</v>
      </c>
      <c r="D91" s="147"/>
      <c r="E91" s="147">
        <f t="shared" si="26"/>
        <v>60000</v>
      </c>
      <c r="F91" s="147"/>
      <c r="G91" s="147"/>
      <c r="H91" s="147"/>
      <c r="I91" s="147"/>
      <c r="J91" s="147"/>
      <c r="K91" s="147"/>
      <c r="L91" s="147"/>
      <c r="M91" s="147"/>
      <c r="N91" s="147"/>
      <c r="O91" s="147"/>
      <c r="P91" s="147"/>
      <c r="Q91" s="147"/>
      <c r="R91" s="516">
        <f t="shared" si="25"/>
        <v>60000</v>
      </c>
      <c r="S91" s="147"/>
      <c r="T91" s="147"/>
      <c r="U91" s="143"/>
    </row>
    <row r="92" spans="1:21" s="144" customFormat="1">
      <c r="A92" s="283" t="s">
        <v>1209</v>
      </c>
      <c r="B92" s="146">
        <f t="shared" si="24"/>
        <v>0</v>
      </c>
      <c r="C92" s="147"/>
      <c r="D92" s="147"/>
      <c r="E92" s="147"/>
      <c r="F92" s="147"/>
      <c r="G92" s="147"/>
      <c r="H92" s="147"/>
      <c r="I92" s="147"/>
      <c r="J92" s="147"/>
      <c r="K92" s="147"/>
      <c r="L92" s="147"/>
      <c r="M92" s="147"/>
      <c r="N92" s="147"/>
      <c r="O92" s="147"/>
      <c r="P92" s="147"/>
      <c r="Q92" s="147"/>
      <c r="R92" s="516">
        <f t="shared" si="25"/>
        <v>0</v>
      </c>
      <c r="S92" s="147"/>
      <c r="T92" s="147"/>
      <c r="U92" s="143"/>
    </row>
    <row r="93" spans="1:21" s="144" customFormat="1">
      <c r="A93" s="1149" t="s">
        <v>2744</v>
      </c>
      <c r="B93" s="146">
        <f t="shared" si="24"/>
        <v>23000</v>
      </c>
      <c r="C93" s="147">
        <v>23000</v>
      </c>
      <c r="D93" s="147"/>
      <c r="E93" s="147">
        <f t="shared" si="26"/>
        <v>23000</v>
      </c>
      <c r="F93" s="147"/>
      <c r="G93" s="147"/>
      <c r="H93" s="147"/>
      <c r="I93" s="147"/>
      <c r="J93" s="147"/>
      <c r="K93" s="147"/>
      <c r="L93" s="147"/>
      <c r="M93" s="147"/>
      <c r="N93" s="147"/>
      <c r="O93" s="147"/>
      <c r="P93" s="147"/>
      <c r="Q93" s="147"/>
      <c r="R93" s="516">
        <f t="shared" si="25"/>
        <v>23000</v>
      </c>
      <c r="S93" s="147">
        <v>15000</v>
      </c>
      <c r="T93" s="147"/>
      <c r="U93" s="143"/>
    </row>
    <row r="94" spans="1:21" s="144" customFormat="1">
      <c r="A94" s="1149" t="s">
        <v>2743</v>
      </c>
      <c r="B94" s="146">
        <f t="shared" si="24"/>
        <v>310000</v>
      </c>
      <c r="C94" s="147">
        <v>310000</v>
      </c>
      <c r="D94" s="147"/>
      <c r="E94" s="147">
        <f t="shared" si="26"/>
        <v>310000</v>
      </c>
      <c r="F94" s="147"/>
      <c r="G94" s="147"/>
      <c r="H94" s="147"/>
      <c r="I94" s="147"/>
      <c r="J94" s="147"/>
      <c r="K94" s="147"/>
      <c r="L94" s="147"/>
      <c r="M94" s="147"/>
      <c r="N94" s="147"/>
      <c r="O94" s="147"/>
      <c r="P94" s="147"/>
      <c r="Q94" s="147"/>
      <c r="R94" s="516">
        <f t="shared" si="25"/>
        <v>310000</v>
      </c>
      <c r="S94" s="147">
        <v>150000</v>
      </c>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c r="A96" s="149" t="s">
        <v>773</v>
      </c>
      <c r="B96" s="146">
        <f>SUM(C96:D96)</f>
        <v>2587232</v>
      </c>
      <c r="C96" s="146">
        <f t="shared" ref="C96:R96" si="27">SUM(C83:C95)</f>
        <v>2587232</v>
      </c>
      <c r="D96" s="146">
        <f t="shared" si="27"/>
        <v>0</v>
      </c>
      <c r="E96" s="146">
        <f t="shared" si="27"/>
        <v>2587232</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2587232</v>
      </c>
      <c r="S96" s="150">
        <f>SUM(S84:S87,S89:S95)</f>
        <v>1816902</v>
      </c>
      <c r="T96" s="146">
        <f>SUM(T84:T87,T89:T95)</f>
        <v>0</v>
      </c>
      <c r="U96" s="143"/>
    </row>
    <row r="97" spans="1:21" s="144" customFormat="1">
      <c r="A97" s="149" t="s">
        <v>774</v>
      </c>
      <c r="B97" s="146">
        <f>SUM(C97:D97)</f>
        <v>51804354</v>
      </c>
      <c r="C97" s="146">
        <f t="shared" ref="C97:R97" si="28">SUM(C63+C70+C77+C81+C96)</f>
        <v>51804354</v>
      </c>
      <c r="D97" s="146">
        <f t="shared" si="28"/>
        <v>0</v>
      </c>
      <c r="E97" s="146">
        <f t="shared" si="28"/>
        <v>28742376</v>
      </c>
      <c r="F97" s="146">
        <f t="shared" si="28"/>
        <v>23061978</v>
      </c>
      <c r="G97" s="146">
        <f t="shared" si="28"/>
        <v>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51804354</v>
      </c>
      <c r="S97" s="146">
        <f>SUM(S63+S70+S81+S96)</f>
        <v>47605731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7140860</v>
      </c>
      <c r="C99" s="979">
        <v>7140860</v>
      </c>
      <c r="D99" s="979"/>
      <c r="E99" s="979">
        <f>C99-SUM(F99:Q99)</f>
        <v>3036469</v>
      </c>
      <c r="F99" s="147"/>
      <c r="G99" s="147">
        <f>G108</f>
        <v>4104391</v>
      </c>
      <c r="H99" s="147"/>
      <c r="I99" s="147"/>
      <c r="J99" s="147"/>
      <c r="K99" s="147"/>
      <c r="L99" s="147"/>
      <c r="M99" s="147"/>
      <c r="N99" s="147"/>
      <c r="O99" s="147"/>
      <c r="P99" s="147"/>
      <c r="Q99" s="147"/>
      <c r="R99" s="516">
        <f>SUM(E99:Q99)</f>
        <v>7140860</v>
      </c>
      <c r="S99" s="147">
        <v>7140860</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7140860</v>
      </c>
      <c r="C104" s="146">
        <f>SUM(C99:C103)</f>
        <v>7140860</v>
      </c>
      <c r="D104" s="146">
        <f t="shared" ref="D104:T104" si="29">SUM(D99:D103)</f>
        <v>0</v>
      </c>
      <c r="E104" s="146">
        <f t="shared" si="29"/>
        <v>3036469</v>
      </c>
      <c r="F104" s="146">
        <f t="shared" si="29"/>
        <v>0</v>
      </c>
      <c r="G104" s="146">
        <f t="shared" si="29"/>
        <v>4104391</v>
      </c>
      <c r="H104" s="146">
        <f t="shared" si="29"/>
        <v>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7140860</v>
      </c>
      <c r="S104" s="150">
        <f t="shared" si="29"/>
        <v>7140860</v>
      </c>
      <c r="T104" s="150">
        <f t="shared" si="29"/>
        <v>0</v>
      </c>
      <c r="U104" s="143"/>
    </row>
    <row r="105" spans="1:21" s="144" customFormat="1">
      <c r="A105" s="149" t="s">
        <v>779</v>
      </c>
      <c r="B105" s="150">
        <f>SUM(C105:D105)</f>
        <v>58945214</v>
      </c>
      <c r="C105" s="150">
        <f t="shared" ref="C105:R105" si="30">SUM(C97+C104)</f>
        <v>58945214</v>
      </c>
      <c r="D105" s="150">
        <f t="shared" si="30"/>
        <v>0</v>
      </c>
      <c r="E105" s="150">
        <f t="shared" si="30"/>
        <v>31778845</v>
      </c>
      <c r="F105" s="150">
        <f t="shared" si="30"/>
        <v>23061978</v>
      </c>
      <c r="G105" s="150">
        <f t="shared" si="30"/>
        <v>4104391</v>
      </c>
      <c r="H105" s="150">
        <f t="shared" si="30"/>
        <v>0</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58945214</v>
      </c>
      <c r="S105" s="150">
        <f>S97+S104</f>
        <v>54746591</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54746591</v>
      </c>
      <c r="T107" s="150">
        <f>T105+T106</f>
        <v>0</v>
      </c>
    </row>
    <row r="108" spans="1:21" s="189" customFormat="1">
      <c r="A108" s="162" t="s">
        <v>878</v>
      </c>
      <c r="B108" s="157"/>
      <c r="C108" s="157"/>
      <c r="D108" s="157"/>
      <c r="E108" s="301">
        <f>Application!AO640</f>
        <v>31778845</v>
      </c>
      <c r="F108" s="301">
        <f>Application!AO627</f>
        <v>23061978</v>
      </c>
      <c r="G108" s="301">
        <f>Application!AO628</f>
        <v>4104391</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2094</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68" t="s">
        <v>988</v>
      </c>
      <c r="E122" s="1868"/>
      <c r="F122" s="1868"/>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0" t="s">
        <v>1222</v>
      </c>
      <c r="E123" s="1807"/>
      <c r="F123" s="1807"/>
      <c r="G123" s="1807"/>
      <c r="H123" s="1807"/>
      <c r="I123" s="1807"/>
      <c r="J123" s="1807"/>
      <c r="K123" s="1807"/>
      <c r="L123" s="1807"/>
      <c r="M123" s="1807"/>
      <c r="N123" s="1807"/>
      <c r="O123" s="1807"/>
      <c r="P123" s="1807"/>
      <c r="Q123" s="1807"/>
      <c r="R123" s="1807"/>
      <c r="S123" s="1807"/>
      <c r="T123" s="324"/>
      <c r="U123" s="326"/>
    </row>
    <row r="124" spans="1:21" ht="12.75">
      <c r="A124" s="117" t="s">
        <v>990</v>
      </c>
      <c r="B124" s="333"/>
      <c r="C124" s="117"/>
      <c r="D124" s="1807"/>
      <c r="E124" s="1807"/>
      <c r="F124" s="1807"/>
      <c r="G124" s="1807"/>
      <c r="H124" s="1807"/>
      <c r="I124" s="1807"/>
      <c r="J124" s="1807"/>
      <c r="K124" s="1807"/>
      <c r="L124" s="1807"/>
      <c r="M124" s="1807"/>
      <c r="N124" s="1807"/>
      <c r="O124" s="1807"/>
      <c r="P124" s="1807"/>
      <c r="Q124" s="1807"/>
      <c r="R124" s="1807"/>
      <c r="S124" s="1807"/>
      <c r="T124" s="324"/>
      <c r="U124" s="326"/>
    </row>
    <row r="125" spans="1:21" ht="12.75">
      <c r="A125" s="117" t="s">
        <v>991</v>
      </c>
      <c r="B125" s="333"/>
      <c r="C125" s="117"/>
      <c r="D125" s="1807"/>
      <c r="E125" s="1807"/>
      <c r="F125" s="1807"/>
      <c r="G125" s="1807"/>
      <c r="H125" s="1807"/>
      <c r="I125" s="1807"/>
      <c r="J125" s="1807"/>
      <c r="K125" s="1807"/>
      <c r="L125" s="1807"/>
      <c r="M125" s="1807"/>
      <c r="N125" s="1807"/>
      <c r="O125" s="1807"/>
      <c r="P125" s="1807"/>
      <c r="Q125" s="1807"/>
      <c r="R125" s="1807"/>
      <c r="S125" s="1807"/>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299</v>
      </c>
      <c r="B129" s="333"/>
      <c r="C129" s="117"/>
      <c r="D129" s="1867" t="s">
        <v>995</v>
      </c>
      <c r="E129" s="1867"/>
      <c r="F129" s="1867"/>
      <c r="G129" s="1867"/>
      <c r="H129" s="1867"/>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998</v>
      </c>
      <c r="E132" s="1871"/>
      <c r="F132" s="1871"/>
      <c r="G132" s="1871"/>
      <c r="H132" s="1871"/>
      <c r="I132" s="117"/>
      <c r="J132" s="1871" t="s">
        <v>999</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1002</v>
      </c>
      <c r="B139" s="1869"/>
      <c r="C139" s="1869"/>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 workbookViewId="0">
      <selection activeCell="F100" sqref="F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1225</v>
      </c>
      <c r="B1" s="1876"/>
      <c r="C1" s="1876"/>
      <c r="D1" s="1876"/>
      <c r="E1" s="1876"/>
      <c r="F1" s="1876"/>
      <c r="G1" s="1876"/>
      <c r="H1" s="1876"/>
      <c r="I1" s="1876"/>
      <c r="J1" s="1877"/>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554397</v>
      </c>
      <c r="C13" s="362">
        <f>B13</f>
        <v>554397</v>
      </c>
      <c r="D13" s="362"/>
      <c r="E13" s="361">
        <f>'Sources and Uses Budget'!S13</f>
        <v>162525</v>
      </c>
      <c r="F13" s="362">
        <f>E13</f>
        <v>162525</v>
      </c>
      <c r="G13" s="362"/>
      <c r="H13" s="361">
        <f>'Sources and Uses Budget'!T13</f>
        <v>0</v>
      </c>
      <c r="I13" s="362"/>
      <c r="J13" s="362"/>
      <c r="K13" s="359"/>
    </row>
    <row r="14" spans="1:11" s="360" customFormat="1" ht="24">
      <c r="A14" s="364" t="s">
        <v>902</v>
      </c>
      <c r="B14" s="361">
        <f>'Sources and Uses Budget'!C14</f>
        <v>0</v>
      </c>
      <c r="C14" s="362">
        <f>B14</f>
        <v>0</v>
      </c>
      <c r="D14" s="362"/>
      <c r="E14" s="361">
        <f>'Sources and Uses Budget'!S14</f>
        <v>0</v>
      </c>
      <c r="F14" s="362">
        <f>E14</f>
        <v>0</v>
      </c>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400000</v>
      </c>
      <c r="C29" s="362">
        <f>B29</f>
        <v>400000</v>
      </c>
      <c r="D29" s="362"/>
      <c r="E29" s="361">
        <f>'Sources and Uses Budget'!S29</f>
        <v>400000</v>
      </c>
      <c r="F29" s="362">
        <f>E29</f>
        <v>400000</v>
      </c>
      <c r="G29" s="362"/>
      <c r="H29" s="361">
        <f>'Sources and Uses Budget'!T29</f>
        <v>0</v>
      </c>
      <c r="I29" s="362"/>
      <c r="J29" s="362"/>
      <c r="K29" s="359"/>
    </row>
    <row r="30" spans="1:11" s="360" customFormat="1">
      <c r="A30" s="145" t="s">
        <v>598</v>
      </c>
      <c r="B30" s="361">
        <f>'Sources and Uses Budget'!C30</f>
        <v>30571880</v>
      </c>
      <c r="C30" s="362">
        <f t="shared" ref="C30:C35" si="0">B30</f>
        <v>30571880</v>
      </c>
      <c r="D30" s="362"/>
      <c r="E30" s="361">
        <f>'Sources and Uses Budget'!S30</f>
        <v>30571880</v>
      </c>
      <c r="F30" s="362">
        <f t="shared" ref="F30:F37" si="1">E30</f>
        <v>30571880</v>
      </c>
      <c r="G30" s="362"/>
      <c r="H30" s="361">
        <f>'Sources and Uses Budget'!T30</f>
        <v>0</v>
      </c>
      <c r="I30" s="362"/>
      <c r="J30" s="362"/>
      <c r="K30" s="359"/>
    </row>
    <row r="31" spans="1:11" s="360" customFormat="1">
      <c r="A31" s="145" t="s">
        <v>599</v>
      </c>
      <c r="B31" s="361">
        <f>'Sources and Uses Budget'!C31</f>
        <v>2503500</v>
      </c>
      <c r="C31" s="362">
        <f t="shared" si="0"/>
        <v>2503500</v>
      </c>
      <c r="D31" s="362"/>
      <c r="E31" s="361">
        <f>'Sources and Uses Budget'!S31</f>
        <v>2503500</v>
      </c>
      <c r="F31" s="362">
        <f t="shared" si="1"/>
        <v>2503500</v>
      </c>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1358247</v>
      </c>
      <c r="C33" s="362">
        <f t="shared" si="0"/>
        <v>1358247</v>
      </c>
      <c r="D33" s="362"/>
      <c r="E33" s="361">
        <f>'Sources and Uses Budget'!S33</f>
        <v>1358247</v>
      </c>
      <c r="F33" s="362">
        <f t="shared" si="1"/>
        <v>1358247</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c r="G34" s="362"/>
      <c r="H34" s="361">
        <f>'Sources and Uses Budget'!T34</f>
        <v>0</v>
      </c>
      <c r="I34" s="362"/>
      <c r="J34" s="362"/>
      <c r="K34" s="359"/>
    </row>
    <row r="35" spans="1:11" s="360" customFormat="1">
      <c r="A35" s="145" t="s">
        <v>140</v>
      </c>
      <c r="B35" s="361">
        <f>'Sources and Uses Budget'!C35</f>
        <v>215156</v>
      </c>
      <c r="C35" s="362">
        <f t="shared" si="0"/>
        <v>215156</v>
      </c>
      <c r="D35" s="362"/>
      <c r="E35" s="361">
        <f>'Sources and Uses Budget'!S35</f>
        <v>215156</v>
      </c>
      <c r="F35" s="362">
        <f t="shared" si="1"/>
        <v>215156</v>
      </c>
      <c r="G35" s="362"/>
      <c r="H35" s="361">
        <f>'Sources and Uses Budget'!T35</f>
        <v>0</v>
      </c>
      <c r="I35" s="362"/>
      <c r="J35" s="362"/>
      <c r="K35" s="359"/>
    </row>
    <row r="36" spans="1:11" s="360" customFormat="1">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P&amp;P Bonds</v>
      </c>
      <c r="B37" s="361">
        <f>'Sources and Uses Budget'!C37</f>
        <v>192423</v>
      </c>
      <c r="C37" s="362">
        <f>B37</f>
        <v>192423</v>
      </c>
      <c r="D37" s="362"/>
      <c r="E37" s="361">
        <f>'Sources and Uses Budget'!S37</f>
        <v>192423</v>
      </c>
      <c r="F37" s="362">
        <f t="shared" si="1"/>
        <v>192423</v>
      </c>
      <c r="G37" s="362"/>
      <c r="H37" s="361">
        <f>'Sources and Uses Budget'!T37</f>
        <v>0</v>
      </c>
      <c r="I37" s="362"/>
      <c r="J37" s="362"/>
      <c r="K37" s="359"/>
    </row>
    <row r="38" spans="1:11" s="360" customFormat="1">
      <c r="A38" s="365" t="s">
        <v>143</v>
      </c>
      <c r="B38" s="361">
        <f>'Sources and Uses Budget'!C38</f>
        <v>35241206</v>
      </c>
      <c r="C38" s="361">
        <f>SUM(C29:C37)</f>
        <v>35241206</v>
      </c>
      <c r="D38" s="361">
        <f>SUM(D29:D37)</f>
        <v>0</v>
      </c>
      <c r="E38" s="361">
        <f>'Sources and Uses Budget'!S38</f>
        <v>35241206</v>
      </c>
      <c r="F38" s="367">
        <f>SUM(F29:F37)</f>
        <v>35241206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710000</v>
      </c>
      <c r="C40" s="362">
        <f>B40</f>
        <v>710000</v>
      </c>
      <c r="D40" s="362"/>
      <c r="E40" s="361">
        <f>'Sources and Uses Budget'!S40</f>
        <v>710000</v>
      </c>
      <c r="F40" s="362">
        <f>E40</f>
        <v>710000</v>
      </c>
      <c r="G40" s="362"/>
      <c r="H40" s="361">
        <f>'Sources and Uses Budget'!T40</f>
        <v>0</v>
      </c>
      <c r="I40" s="362"/>
      <c r="J40" s="362"/>
      <c r="K40" s="359"/>
    </row>
    <row r="41" spans="1:11" s="360" customFormat="1">
      <c r="A41" s="364" t="s">
        <v>146</v>
      </c>
      <c r="B41" s="361">
        <f>'Sources and Uses Budget'!C41</f>
        <v>240000</v>
      </c>
      <c r="C41" s="362">
        <f>B41</f>
        <v>240000</v>
      </c>
      <c r="D41" s="362"/>
      <c r="E41" s="361">
        <f>'Sources and Uses Budget'!S41</f>
        <v>240000</v>
      </c>
      <c r="F41" s="362">
        <f>E41</f>
        <v>240000</v>
      </c>
      <c r="G41" s="362"/>
      <c r="H41" s="361">
        <f>'Sources and Uses Budget'!T41</f>
        <v>0</v>
      </c>
      <c r="I41" s="362"/>
      <c r="J41" s="362"/>
      <c r="K41" s="359"/>
    </row>
    <row r="42" spans="1:11" s="360" customFormat="1">
      <c r="A42" s="365" t="s">
        <v>147</v>
      </c>
      <c r="B42" s="361">
        <f>'Sources and Uses Budget'!C42</f>
        <v>950000</v>
      </c>
      <c r="C42" s="361">
        <f>SUM(C39:C41)</f>
        <v>950000</v>
      </c>
      <c r="D42" s="361">
        <f>SUM(D39:D41)</f>
        <v>0</v>
      </c>
      <c r="E42" s="361">
        <f>'Sources and Uses Budget'!S42</f>
        <v>950000</v>
      </c>
      <c r="F42" s="367">
        <f>SUM(F40:F41)</f>
        <v>950000</v>
      </c>
      <c r="G42" s="367">
        <f>SUM(G40:G41)</f>
        <v>0</v>
      </c>
      <c r="H42" s="361">
        <f>'Sources and Uses Budget'!T42</f>
        <v>0</v>
      </c>
      <c r="I42" s="367">
        <f>SUM(I40:I41)</f>
        <v>0</v>
      </c>
      <c r="J42" s="367">
        <f>SUM(J40:J41)</f>
        <v>0</v>
      </c>
      <c r="K42" s="359"/>
    </row>
    <row r="43" spans="1:11" s="360" customFormat="1">
      <c r="A43" s="365" t="s">
        <v>148</v>
      </c>
      <c r="B43" s="361">
        <f>'Sources and Uses Budget'!C43</f>
        <v>1618800</v>
      </c>
      <c r="C43" s="362">
        <f>B43</f>
        <v>1618800</v>
      </c>
      <c r="D43" s="362"/>
      <c r="E43" s="361">
        <f>'Sources and Uses Budget'!S43</f>
        <v>1618800</v>
      </c>
      <c r="F43" s="362">
        <f>E43</f>
        <v>1618800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2320369</v>
      </c>
      <c r="C45" s="362">
        <f>B45</f>
        <v>2320369</v>
      </c>
      <c r="D45" s="362"/>
      <c r="E45" s="361">
        <f>'Sources and Uses Budget'!S45</f>
        <v>2320369</v>
      </c>
      <c r="F45" s="362">
        <f>E45</f>
        <v>2320369</v>
      </c>
      <c r="G45" s="362"/>
      <c r="H45" s="361">
        <f>'Sources and Uses Budget'!T45</f>
        <v>0</v>
      </c>
      <c r="I45" s="362"/>
      <c r="J45" s="362"/>
      <c r="K45" s="359"/>
    </row>
    <row r="46" spans="1:11" s="360" customFormat="1">
      <c r="A46" s="364" t="s">
        <v>151</v>
      </c>
      <c r="B46" s="361">
        <f>'Sources and Uses Budget'!C46</f>
        <v>308025</v>
      </c>
      <c r="C46" s="362">
        <f t="shared" ref="C46:C53" si="2">B46</f>
        <v>308025</v>
      </c>
      <c r="D46" s="362"/>
      <c r="E46" s="361">
        <f>'Sources and Uses Budget'!S46</f>
        <v>243339</v>
      </c>
      <c r="F46" s="362">
        <f t="shared" ref="F46:F53" si="3">E46</f>
        <v>243339</v>
      </c>
      <c r="G46" s="362"/>
      <c r="H46" s="361">
        <f>'Sources and Uses Budget'!T46</f>
        <v>0</v>
      </c>
      <c r="I46" s="362"/>
      <c r="J46" s="362"/>
      <c r="K46" s="359"/>
    </row>
    <row r="47" spans="1:11" s="360" customFormat="1" ht="12" customHeight="1">
      <c r="A47" s="364" t="s">
        <v>152</v>
      </c>
      <c r="B47" s="361">
        <f>'Sources and Uses Budget'!C47</f>
        <v>947400</v>
      </c>
      <c r="C47" s="362">
        <f t="shared" si="2"/>
        <v>947400</v>
      </c>
      <c r="D47" s="362"/>
      <c r="E47" s="361">
        <f>'Sources and Uses Budget'!S47</f>
        <v>758190</v>
      </c>
      <c r="F47" s="362">
        <f t="shared" si="3"/>
        <v>758190</v>
      </c>
      <c r="G47" s="362"/>
      <c r="H47" s="361">
        <f>'Sources and Uses Budget'!T47</f>
        <v>0</v>
      </c>
      <c r="I47" s="362"/>
      <c r="J47" s="362"/>
      <c r="K47" s="359"/>
    </row>
    <row r="48" spans="1:11" s="360" customFormat="1">
      <c r="A48" s="364" t="s">
        <v>153</v>
      </c>
      <c r="B48" s="361">
        <f>'Sources and Uses Budget'!C48</f>
        <v>208340</v>
      </c>
      <c r="C48" s="362">
        <f t="shared" si="2"/>
        <v>208340</v>
      </c>
      <c r="D48" s="362"/>
      <c r="E48" s="361">
        <f>'Sources and Uses Budget'!S48</f>
        <v>208340</v>
      </c>
      <c r="F48" s="362">
        <f>E48</f>
        <v>208340</v>
      </c>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104000</v>
      </c>
      <c r="C50" s="362">
        <f t="shared" si="2"/>
        <v>104000</v>
      </c>
      <c r="D50" s="362"/>
      <c r="E50" s="361">
        <f>'Sources and Uses Budget'!S50</f>
        <v>104000</v>
      </c>
      <c r="F50" s="362">
        <f t="shared" si="3"/>
        <v>104000</v>
      </c>
      <c r="G50" s="362"/>
      <c r="H50" s="361">
        <f>'Sources and Uses Budget'!T50</f>
        <v>0</v>
      </c>
      <c r="I50" s="362"/>
      <c r="J50" s="362"/>
      <c r="K50" s="359"/>
    </row>
    <row r="51" spans="1:11" s="360" customFormat="1">
      <c r="A51" s="364" t="s">
        <v>154</v>
      </c>
      <c r="B51" s="361">
        <f>'Sources and Uses Budget'!C51</f>
        <v>50000</v>
      </c>
      <c r="C51" s="362">
        <f t="shared" si="2"/>
        <v>50000</v>
      </c>
      <c r="D51" s="362"/>
      <c r="E51" s="361">
        <f>'Sources and Uses Budget'!S51</f>
        <v>0</v>
      </c>
      <c r="F51" s="362"/>
      <c r="G51" s="362"/>
      <c r="H51" s="361">
        <f>'Sources and Uses Budget'!T51</f>
        <v>0</v>
      </c>
      <c r="I51" s="362"/>
      <c r="J51" s="362"/>
      <c r="K51" s="359"/>
    </row>
    <row r="52" spans="1:11" s="360" customFormat="1">
      <c r="A52" s="364" t="s">
        <v>155</v>
      </c>
      <c r="B52" s="361">
        <f>'Sources and Uses Budget'!C52</f>
        <v>1250000</v>
      </c>
      <c r="C52" s="362">
        <f t="shared" si="2"/>
        <v>1250000</v>
      </c>
      <c r="D52" s="362"/>
      <c r="E52" s="361">
        <f>'Sources and Uses Budget'!S52</f>
        <v>1250000</v>
      </c>
      <c r="F52" s="362">
        <f t="shared" si="3"/>
        <v>1250000</v>
      </c>
      <c r="G52" s="362"/>
      <c r="H52" s="361">
        <f>'Sources and Uses Budget'!T52</f>
        <v>0</v>
      </c>
      <c r="I52" s="362"/>
      <c r="J52" s="362"/>
      <c r="K52" s="359"/>
    </row>
    <row r="53" spans="1:11" s="360" customFormat="1" ht="24">
      <c r="A53" s="364" t="str">
        <f>'Sources and Uses Budget'!$A53</f>
        <v>Ground Lease Interest Prior to Conversion</v>
      </c>
      <c r="B53" s="361">
        <f>'Sources and Uses Budget'!C53</f>
        <v>919707</v>
      </c>
      <c r="C53" s="362">
        <f t="shared" si="2"/>
        <v>919707</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6107841</v>
      </c>
      <c r="C54" s="367">
        <f>SUM(C45:C53)</f>
        <v>6107841</v>
      </c>
      <c r="D54" s="367">
        <f>SUM(D45:D53)</f>
        <v>0</v>
      </c>
      <c r="E54" s="361">
        <f>'Sources and Uses Budget'!S54</f>
        <v>4884238</v>
      </c>
      <c r="F54" s="367">
        <f>SUM(F45:F53)</f>
        <v>4884238</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172964</v>
      </c>
      <c r="C56" s="362">
        <f>B56</f>
        <v>172964</v>
      </c>
      <c r="D56" s="362"/>
      <c r="E56" s="363"/>
      <c r="F56" s="363"/>
      <c r="G56" s="363"/>
      <c r="H56" s="363"/>
      <c r="I56" s="363"/>
      <c r="J56" s="363"/>
      <c r="K56" s="359"/>
    </row>
    <row r="57" spans="1:11" s="360" customFormat="1" ht="12" customHeight="1">
      <c r="A57" s="364" t="s">
        <v>152</v>
      </c>
      <c r="B57" s="361">
        <f>'Sources and Uses Budget'!C57</f>
        <v>26000</v>
      </c>
      <c r="C57" s="362">
        <f t="shared" ref="C57:C61" si="4">B57</f>
        <v>26000</v>
      </c>
      <c r="D57" s="362"/>
      <c r="E57" s="363"/>
      <c r="F57" s="363"/>
      <c r="G57" s="363"/>
      <c r="H57" s="363"/>
      <c r="I57" s="363"/>
      <c r="J57" s="363"/>
      <c r="K57" s="359"/>
    </row>
    <row r="58" spans="1:11" s="360" customFormat="1">
      <c r="A58" s="364" t="s">
        <v>156</v>
      </c>
      <c r="B58" s="361">
        <f>'Sources and Uses Budget'!C58</f>
        <v>30000</v>
      </c>
      <c r="C58" s="362">
        <f t="shared" si="4"/>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 xml:space="preserve">Other: Perm Loan Interest (Construction Loans) </v>
      </c>
      <c r="B61" s="361">
        <f>'Sources and Uses Budget'!C61</f>
        <v>753076</v>
      </c>
      <c r="C61" s="362">
        <f t="shared" si="4"/>
        <v>753076</v>
      </c>
      <c r="D61" s="362"/>
      <c r="E61" s="363"/>
      <c r="F61" s="363"/>
      <c r="G61" s="363"/>
      <c r="H61" s="363"/>
      <c r="I61" s="363"/>
      <c r="J61" s="363"/>
      <c r="K61" s="359"/>
    </row>
    <row r="62" spans="1:11" s="360" customFormat="1" ht="13.7" customHeight="1">
      <c r="A62" s="365" t="s">
        <v>300</v>
      </c>
      <c r="B62" s="361">
        <f>'Sources and Uses Budget'!C62</f>
        <v>982040</v>
      </c>
      <c r="C62" s="361">
        <f>SUM(C56:C61)</f>
        <v>982040</v>
      </c>
      <c r="D62" s="361">
        <f>SUM(D56:D61)</f>
        <v>0</v>
      </c>
      <c r="E62" s="363"/>
      <c r="F62" s="363"/>
      <c r="G62" s="363"/>
      <c r="H62" s="363"/>
      <c r="I62" s="363"/>
      <c r="J62" s="363"/>
      <c r="K62" s="359"/>
    </row>
    <row r="63" spans="1:11" s="360" customFormat="1">
      <c r="A63" s="370" t="s">
        <v>301</v>
      </c>
      <c r="B63" s="361">
        <f>'Sources and Uses Budget'!C63</f>
        <v>45454284</v>
      </c>
      <c r="C63" s="361">
        <f>SUM(C8+C11+C13+C14+C15+C26+C27+C38+C42+C43+C54+C62)</f>
        <v>45454284</v>
      </c>
      <c r="D63" s="361">
        <f>SUM(D8+D11+D13+D14+D15+D26+D27+D38+D42+D43+D54+D62)</f>
        <v>0</v>
      </c>
      <c r="E63" s="361">
        <f>'Sources and Uses Budget'!S63</f>
        <v>42856769</v>
      </c>
      <c r="F63" s="361">
        <f>SUM(F10+F13+F14+F15+F26+F27+F38+F42+F43+F54)</f>
        <v>42856769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170</v>
      </c>
      <c r="B65" s="361">
        <f>'Sources and Uses Budget'!C65</f>
        <v>150000</v>
      </c>
      <c r="C65" s="362">
        <f>B65</f>
        <v>150000</v>
      </c>
      <c r="D65" s="362"/>
      <c r="E65" s="361">
        <f>'Sources and Uses Budget'!S65</f>
        <v>85000</v>
      </c>
      <c r="F65" s="362">
        <f>E65</f>
        <v>85000</v>
      </c>
      <c r="G65" s="362"/>
      <c r="H65" s="361">
        <f>'Sources and Uses Budget'!T65</f>
        <v>0</v>
      </c>
      <c r="I65" s="362"/>
      <c r="J65" s="362"/>
      <c r="K65" s="359"/>
    </row>
    <row r="66" spans="1:11" s="360" customFormat="1" ht="24">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Other: Partnership Legal/Other </v>
      </c>
      <c r="B69" s="361">
        <f>'Sources and Uses Budget'!C69</f>
        <v>440000</v>
      </c>
      <c r="C69" s="362">
        <f>B69</f>
        <v>440000</v>
      </c>
      <c r="D69" s="362"/>
      <c r="E69" s="361">
        <f>'Sources and Uses Budget'!S69</f>
        <v>405000</v>
      </c>
      <c r="F69" s="362">
        <f t="shared" ref="F69" si="5">E69</f>
        <v>405000</v>
      </c>
      <c r="G69" s="362"/>
      <c r="H69" s="361">
        <f>'Sources and Uses Budget'!T69</f>
        <v>0</v>
      </c>
      <c r="I69" s="362"/>
      <c r="J69" s="362"/>
      <c r="K69" s="359"/>
    </row>
    <row r="70" spans="1:11" s="360" customFormat="1">
      <c r="A70" s="365" t="s">
        <v>600</v>
      </c>
      <c r="B70" s="361">
        <f>'Sources and Uses Budget'!C70</f>
        <v>590000</v>
      </c>
      <c r="C70" s="361">
        <f>SUM(C64:C69)</f>
        <v>590000</v>
      </c>
      <c r="D70" s="361">
        <f>SUM(D64:D69)</f>
        <v>0</v>
      </c>
      <c r="E70" s="361">
        <f>'Sources and Uses Budget'!S70</f>
        <v>490000</v>
      </c>
      <c r="F70" s="367">
        <f>SUM(F65:F69)</f>
        <v>490000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730778</v>
      </c>
      <c r="C75" s="362">
        <f>B75</f>
        <v>730778</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730778</v>
      </c>
      <c r="C77" s="361">
        <f>SUM(C72:C76)</f>
        <v>730778</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1742060</v>
      </c>
      <c r="C79" s="362">
        <f>B79</f>
        <v>1742060</v>
      </c>
      <c r="D79" s="362"/>
      <c r="E79" s="361">
        <f>'Sources and Uses Budget'!S79</f>
        <v>1742060</v>
      </c>
      <c r="F79" s="362">
        <f>E79</f>
        <v>1742060</v>
      </c>
      <c r="G79" s="362"/>
      <c r="H79" s="361">
        <f>'Sources and Uses Budget'!T79</f>
        <v>0</v>
      </c>
      <c r="I79" s="362"/>
      <c r="J79" s="362"/>
      <c r="K79" s="359"/>
    </row>
    <row r="80" spans="1:11" s="360" customFormat="1">
      <c r="A80" s="364" t="s">
        <v>58</v>
      </c>
      <c r="B80" s="361">
        <f>'Sources and Uses Budget'!C80</f>
        <v>700000</v>
      </c>
      <c r="C80" s="362">
        <f>B80</f>
        <v>700000</v>
      </c>
      <c r="D80" s="362"/>
      <c r="E80" s="361">
        <f>'Sources and Uses Budget'!S80</f>
        <v>700000</v>
      </c>
      <c r="F80" s="362">
        <f>E80</f>
        <v>700000</v>
      </c>
      <c r="G80" s="362"/>
      <c r="H80" s="361">
        <f>'Sources and Uses Budget'!T80</f>
        <v>0</v>
      </c>
      <c r="I80" s="362"/>
      <c r="J80" s="362"/>
      <c r="K80" s="359"/>
    </row>
    <row r="81" spans="1:11" s="360" customFormat="1">
      <c r="A81" s="365" t="s">
        <v>1207</v>
      </c>
      <c r="B81" s="361">
        <f>'Sources and Uses Budget'!C81</f>
        <v>2442060</v>
      </c>
      <c r="C81" s="361">
        <f>SUM(C79:C80)</f>
        <v>2442060</v>
      </c>
      <c r="D81" s="361">
        <f>SUM(D79:D80)</f>
        <v>0</v>
      </c>
      <c r="E81" s="361">
        <f>'Sources and Uses Budget'!S81</f>
        <v>2442060</v>
      </c>
      <c r="F81" s="361">
        <f>SUM(F79:F80)</f>
        <v>2442060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141330</v>
      </c>
      <c r="C83" s="362">
        <f>B83</f>
        <v>141330</v>
      </c>
      <c r="D83" s="362"/>
      <c r="E83" s="363"/>
      <c r="F83" s="363"/>
      <c r="G83" s="363"/>
      <c r="H83" s="363"/>
      <c r="I83" s="363"/>
      <c r="J83" s="363"/>
      <c r="K83" s="359"/>
    </row>
    <row r="84" spans="1:11" s="360" customFormat="1">
      <c r="A84" s="145" t="s">
        <v>766</v>
      </c>
      <c r="B84" s="361">
        <f>'Sources and Uses Budget'!C84</f>
        <v>9300</v>
      </c>
      <c r="C84" s="362">
        <f t="shared" ref="C84:C94" si="6">B84</f>
        <v>9300</v>
      </c>
      <c r="D84" s="362"/>
      <c r="E84" s="361">
        <f>'Sources and Uses Budget'!S84</f>
        <v>9300</v>
      </c>
      <c r="F84" s="362">
        <f>E84</f>
        <v>9300</v>
      </c>
      <c r="G84" s="362"/>
      <c r="H84" s="361">
        <f>'Sources and Uses Budget'!T84</f>
        <v>0</v>
      </c>
      <c r="I84" s="362"/>
      <c r="J84" s="362"/>
      <c r="K84" s="359"/>
    </row>
    <row r="85" spans="1:11" s="360" customFormat="1">
      <c r="A85" s="145" t="s">
        <v>767</v>
      </c>
      <c r="B85" s="361">
        <f>'Sources and Uses Budget'!C85</f>
        <v>180985</v>
      </c>
      <c r="C85" s="362">
        <f t="shared" si="6"/>
        <v>180985</v>
      </c>
      <c r="D85" s="362"/>
      <c r="E85" s="361">
        <f>'Sources and Uses Budget'!S85</f>
        <v>180985</v>
      </c>
      <c r="F85" s="362">
        <f t="shared" ref="F85:F86" si="7">E85</f>
        <v>180985</v>
      </c>
      <c r="G85" s="362"/>
      <c r="H85" s="361">
        <f>'Sources and Uses Budget'!T85</f>
        <v>0</v>
      </c>
      <c r="I85" s="362"/>
      <c r="J85" s="362"/>
      <c r="K85" s="359"/>
    </row>
    <row r="86" spans="1:11" s="360" customFormat="1">
      <c r="A86" s="145" t="s">
        <v>768</v>
      </c>
      <c r="B86" s="361">
        <f>'Sources and Uses Budget'!C86</f>
        <v>1213117</v>
      </c>
      <c r="C86" s="362">
        <f t="shared" si="6"/>
        <v>1213117</v>
      </c>
      <c r="D86" s="362"/>
      <c r="E86" s="361">
        <f>'Sources and Uses Budget'!S86</f>
        <v>1213117</v>
      </c>
      <c r="F86" s="362">
        <f t="shared" si="7"/>
        <v>1213117</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157000</v>
      </c>
      <c r="C88" s="362">
        <f t="shared" si="6"/>
        <v>157000</v>
      </c>
      <c r="D88" s="362"/>
      <c r="E88" s="363"/>
      <c r="F88" s="363"/>
      <c r="G88" s="363"/>
      <c r="H88" s="363"/>
      <c r="I88" s="363"/>
      <c r="J88" s="363"/>
      <c r="K88" s="359"/>
    </row>
    <row r="89" spans="1:11" s="360" customFormat="1">
      <c r="A89" s="145" t="s">
        <v>771</v>
      </c>
      <c r="B89" s="361">
        <f>'Sources and Uses Budget'!C89</f>
        <v>474000</v>
      </c>
      <c r="C89" s="362">
        <f t="shared" si="6"/>
        <v>474000</v>
      </c>
      <c r="D89" s="362"/>
      <c r="E89" s="361">
        <f>'Sources and Uses Budget'!S89</f>
        <v>230000</v>
      </c>
      <c r="F89" s="362">
        <f>E89</f>
        <v>230000</v>
      </c>
      <c r="G89" s="362"/>
      <c r="H89" s="361">
        <f>'Sources and Uses Budget'!T89</f>
        <v>0</v>
      </c>
      <c r="I89" s="362"/>
      <c r="J89" s="362"/>
      <c r="K89" s="359"/>
    </row>
    <row r="90" spans="1:11" s="360" customFormat="1">
      <c r="A90" s="145" t="s">
        <v>772</v>
      </c>
      <c r="B90" s="361">
        <f>'Sources and Uses Budget'!C90</f>
        <v>18500</v>
      </c>
      <c r="C90" s="362">
        <f t="shared" si="6"/>
        <v>18500</v>
      </c>
      <c r="D90" s="362"/>
      <c r="E90" s="361">
        <f>'Sources and Uses Budget'!S90</f>
        <v>18500</v>
      </c>
      <c r="F90" s="362">
        <f t="shared" ref="F90:F94" si="8">E90</f>
        <v>18500</v>
      </c>
      <c r="G90" s="362"/>
      <c r="H90" s="361">
        <f>'Sources and Uses Budget'!T90</f>
        <v>0</v>
      </c>
      <c r="I90" s="362"/>
      <c r="J90" s="362"/>
      <c r="K90" s="359"/>
    </row>
    <row r="91" spans="1:11" s="360" customFormat="1">
      <c r="A91" s="155" t="s">
        <v>371</v>
      </c>
      <c r="B91" s="361">
        <f>'Sources and Uses Budget'!C91</f>
        <v>60000</v>
      </c>
      <c r="C91" s="362">
        <f t="shared" si="6"/>
        <v>60000</v>
      </c>
      <c r="D91" s="362"/>
      <c r="E91" s="361">
        <f>'Sources and Uses Budget'!S91</f>
        <v>0</v>
      </c>
      <c r="F91" s="362"/>
      <c r="G91" s="362"/>
      <c r="H91" s="361">
        <f>'Sources and Uses Budget'!T91</f>
        <v>0</v>
      </c>
      <c r="I91" s="362"/>
      <c r="J91" s="362"/>
      <c r="K91" s="359"/>
    </row>
    <row r="92" spans="1:11" s="360" customFormat="1">
      <c r="A92" s="508" t="s">
        <v>1209</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Organizational Costs &amp; Misc. Fees</v>
      </c>
      <c r="B93" s="361">
        <f>'Sources and Uses Budget'!C93</f>
        <v>23000</v>
      </c>
      <c r="C93" s="362">
        <f t="shared" si="6"/>
        <v>23000</v>
      </c>
      <c r="D93" s="362"/>
      <c r="E93" s="361">
        <f>'Sources and Uses Budget'!S93</f>
        <v>15000</v>
      </c>
      <c r="F93" s="362">
        <f t="shared" si="8"/>
        <v>15000</v>
      </c>
      <c r="G93" s="362"/>
      <c r="H93" s="361">
        <f>'Sources and Uses Budget'!T93</f>
        <v>0</v>
      </c>
      <c r="I93" s="362"/>
      <c r="J93" s="362"/>
      <c r="K93" s="359"/>
    </row>
    <row r="94" spans="1:11" s="360" customFormat="1">
      <c r="A94" s="364" t="str">
        <f>'Sources and Uses Budget'!$A94</f>
        <v>Other: Utility Connections/Deposits</v>
      </c>
      <c r="B94" s="361">
        <f>'Sources and Uses Budget'!C94</f>
        <v>310000</v>
      </c>
      <c r="C94" s="362">
        <f t="shared" si="6"/>
        <v>310000</v>
      </c>
      <c r="D94" s="362"/>
      <c r="E94" s="361">
        <f>'Sources and Uses Budget'!S94</f>
        <v>150000</v>
      </c>
      <c r="F94" s="362">
        <f t="shared" si="8"/>
        <v>150000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2587232</v>
      </c>
      <c r="C96" s="361">
        <f>SUM(C83:C95)</f>
        <v>2587232</v>
      </c>
      <c r="D96" s="361">
        <f>SUM(D83:D95)</f>
        <v>0</v>
      </c>
      <c r="E96" s="361">
        <f>'Sources and Uses Budget'!S96</f>
        <v>1816902</v>
      </c>
      <c r="F96" s="367">
        <f>SUM(F84:F87,F89:F95)</f>
        <v>1816902</v>
      </c>
      <c r="G96" s="367">
        <f>SUM(G84:G87,G89:G95)</f>
        <v>0</v>
      </c>
      <c r="H96" s="361">
        <f>'Sources and Uses Budget'!T96</f>
        <v>0</v>
      </c>
      <c r="I96" s="361">
        <f>SUM(I84:I87,I89:I95)</f>
        <v>0</v>
      </c>
      <c r="J96" s="361">
        <f>SUM(J84:J87,J89:J95)</f>
        <v>0</v>
      </c>
      <c r="K96" s="359"/>
    </row>
    <row r="97" spans="1:11" s="360" customFormat="1">
      <c r="A97" s="365" t="s">
        <v>1027</v>
      </c>
      <c r="B97" s="361">
        <f>'Sources and Uses Budget'!C97</f>
        <v>51804354</v>
      </c>
      <c r="C97" s="361">
        <f>SUM(C63+C70+C77+C81+C96)</f>
        <v>51804354</v>
      </c>
      <c r="D97" s="361">
        <f>SUM(D63+D70+D77+D81+D96)</f>
        <v>0</v>
      </c>
      <c r="E97" s="361">
        <f>'Sources and Uses Budget'!S97</f>
        <v>47605731</v>
      </c>
      <c r="F97" s="367">
        <f>SUM(+F63+F70+F81+F96)</f>
        <v>47605731</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7140860</v>
      </c>
      <c r="C99" s="362">
        <f>B99</f>
        <v>7140860</v>
      </c>
      <c r="D99" s="362"/>
      <c r="E99" s="361">
        <f>'Sources and Uses Budget'!S99</f>
        <v>7140860</v>
      </c>
      <c r="F99" s="362">
        <f>E99</f>
        <v>7140860</v>
      </c>
      <c r="G99" s="362"/>
      <c r="H99" s="361">
        <f>'Sources and Uses Budget'!T99</f>
        <v>0</v>
      </c>
      <c r="I99" s="362"/>
      <c r="J99" s="362"/>
      <c r="K99" s="359"/>
    </row>
    <row r="100" spans="1:11" s="360" customFormat="1">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7140860</v>
      </c>
      <c r="C104" s="361">
        <f>SUM(C99:C103)</f>
        <v>7140860</v>
      </c>
      <c r="D104" s="361">
        <f>SUM(D99:D103)</f>
        <v>0</v>
      </c>
      <c r="E104" s="361">
        <f>'Sources and Uses Budget'!S104</f>
        <v>7140860</v>
      </c>
      <c r="F104" s="367">
        <f>SUM(F99:F103)</f>
        <v>7140860</v>
      </c>
      <c r="G104" s="367">
        <f>SUM(G99:G103)</f>
        <v>0</v>
      </c>
      <c r="H104" s="361">
        <f>'Sources and Uses Budget'!T104</f>
        <v>0</v>
      </c>
      <c r="I104" s="367">
        <f>SUM(I99:I103)</f>
        <v>0</v>
      </c>
      <c r="J104" s="367">
        <f>SUM(J99:J103)</f>
        <v>0</v>
      </c>
      <c r="K104" s="359"/>
    </row>
    <row r="105" spans="1:11" s="360" customFormat="1">
      <c r="A105" s="365" t="s">
        <v>1028</v>
      </c>
      <c r="B105" s="361">
        <f>'Sources and Uses Budget'!C105</f>
        <v>58945214</v>
      </c>
      <c r="C105" s="367">
        <f>SUM(C97+C104)</f>
        <v>58945214</v>
      </c>
      <c r="D105" s="367">
        <f>SUM(D97+D104)</f>
        <v>0</v>
      </c>
      <c r="E105" s="361">
        <f>'Sources and Uses Budget'!S105</f>
        <v>54746591</v>
      </c>
      <c r="F105" s="367">
        <f>F97+F104</f>
        <v>54746591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54746591</v>
      </c>
      <c r="F107" s="367">
        <f>F105+F106</f>
        <v>54746591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5" workbookViewId="0">
      <selection activeCell="AN18" sqref="AN18:AS18"/>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5" t="str">
        <f>IF(Application!H18="","",Application!H18)</f>
        <v xml:space="preserve">Warner Center II </v>
      </c>
      <c r="M4" s="2316"/>
      <c r="N4" s="2316"/>
      <c r="O4" s="2316"/>
      <c r="P4" s="2316"/>
      <c r="Q4" s="2316"/>
      <c r="R4" s="2316"/>
      <c r="S4" s="2316"/>
      <c r="T4" s="2316"/>
      <c r="U4" s="2316"/>
      <c r="V4" s="2316"/>
      <c r="W4" s="2316"/>
      <c r="X4" s="2316"/>
      <c r="Y4" s="2316"/>
      <c r="Z4" s="2316"/>
      <c r="AA4" s="2316"/>
      <c r="AB4" s="2316"/>
      <c r="AC4" s="2317"/>
      <c r="AD4" s="1190"/>
      <c r="AE4" s="1190"/>
      <c r="AF4" s="2311" t="s">
        <v>2454</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2453</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5" t="str">
        <f>IF(Application!H16="","",Application!H16)</f>
        <v xml:space="preserve">Warner Center II, L.P. </v>
      </c>
      <c r="M6" s="2316"/>
      <c r="N6" s="2316"/>
      <c r="O6" s="2316"/>
      <c r="P6" s="2316"/>
      <c r="Q6" s="2316"/>
      <c r="R6" s="2316"/>
      <c r="S6" s="2316"/>
      <c r="T6" s="2316"/>
      <c r="U6" s="2316"/>
      <c r="V6" s="2316"/>
      <c r="W6" s="2316"/>
      <c r="X6" s="2316"/>
      <c r="Y6" s="2316"/>
      <c r="Z6" s="2316"/>
      <c r="AA6" s="2316"/>
      <c r="AB6" s="2316"/>
      <c r="AC6" s="2317"/>
      <c r="AD6" s="1190"/>
      <c r="AE6" s="1190"/>
      <c r="AF6" s="2318" t="s">
        <v>2451</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2450</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2448</v>
      </c>
      <c r="AG8" s="2318"/>
      <c r="AH8" s="2318"/>
      <c r="AI8" s="2318"/>
      <c r="AJ8" s="2318"/>
      <c r="AK8" s="2318"/>
      <c r="AL8" s="2318"/>
      <c r="AM8" s="2318"/>
      <c r="AN8" s="2318"/>
      <c r="AO8" s="2318"/>
      <c r="AP8" s="2319" t="s">
        <v>2097</v>
      </c>
      <c r="AQ8" s="2319"/>
      <c r="AR8" s="2319"/>
      <c r="AS8" s="2319"/>
      <c r="AT8" s="2319"/>
      <c r="AU8" s="2319"/>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2447</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4">
        <f>Application!AO627</f>
        <v>23061978</v>
      </c>
      <c r="O10" s="2314"/>
      <c r="P10" s="2314"/>
      <c r="Q10" s="2314"/>
      <c r="R10" s="2314"/>
      <c r="S10" s="2314"/>
      <c r="T10" s="2314"/>
      <c r="U10" s="1190"/>
      <c r="V10" s="1190"/>
      <c r="W10" s="1190"/>
      <c r="X10" s="1193"/>
      <c r="Y10" s="1193"/>
      <c r="Z10" s="1193"/>
      <c r="AA10" s="1193"/>
      <c r="AB10" s="1193"/>
      <c r="AC10" s="1193"/>
      <c r="AD10" s="1193"/>
      <c r="AE10" s="1193"/>
      <c r="AF10" s="2311" t="s">
        <v>2444</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2441</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302" t="s">
        <v>2439</v>
      </c>
      <c r="C13" s="2303"/>
      <c r="D13" s="2303"/>
      <c r="E13" s="2303"/>
      <c r="F13" s="2303"/>
      <c r="G13" s="2303"/>
      <c r="H13" s="2303"/>
      <c r="I13" s="2303"/>
      <c r="J13" s="2303"/>
      <c r="K13" s="2303"/>
      <c r="L13" s="2303"/>
      <c r="M13" s="2303"/>
      <c r="N13" s="2303"/>
      <c r="O13" s="2303"/>
      <c r="P13" s="2304"/>
      <c r="Q13" s="2305" t="s">
        <v>668</v>
      </c>
      <c r="R13" s="2306"/>
      <c r="S13" s="2306"/>
      <c r="T13" s="2307"/>
      <c r="U13" s="1193"/>
      <c r="V13" s="1190"/>
      <c r="W13" s="1190"/>
      <c r="X13" s="1190"/>
      <c r="Y13" s="1190"/>
      <c r="Z13" s="1190"/>
      <c r="AA13" s="2292" t="s">
        <v>2438</v>
      </c>
      <c r="AB13" s="2292"/>
      <c r="AC13" s="2292"/>
      <c r="AD13" s="2292"/>
      <c r="AE13" s="2292"/>
      <c r="AF13" s="2292"/>
      <c r="AG13" s="2292"/>
      <c r="AH13" s="2292"/>
      <c r="AI13" s="2292"/>
      <c r="AJ13" s="2292"/>
      <c r="AK13" s="2292"/>
      <c r="AL13" s="2292"/>
      <c r="AM13" s="2292"/>
      <c r="AN13" s="2292"/>
      <c r="AO13" s="2308">
        <f>Application!W473</f>
        <v>34</v>
      </c>
      <c r="AP13" s="2309"/>
      <c r="AQ13" s="2309"/>
      <c r="AR13" s="2309"/>
      <c r="AS13" s="2309"/>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2436</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2434</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2433</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2432</v>
      </c>
      <c r="C18" s="2296"/>
      <c r="D18" s="2296"/>
      <c r="E18" s="2296"/>
      <c r="F18" s="2296"/>
      <c r="G18" s="2296"/>
      <c r="H18" s="2296"/>
      <c r="I18" s="2297"/>
      <c r="J18" s="2298" t="s">
        <v>1584</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2431</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13</v>
      </c>
      <c r="K19" s="2285"/>
      <c r="L19" s="2285"/>
      <c r="M19" s="2285"/>
      <c r="N19" s="2285"/>
      <c r="O19" s="2286"/>
      <c r="P19" s="2284" cm="1">
        <f t="array" ref="P19">SUMPRODUCT((Application!$B$718:$B$752 = 'CalHFA Addendum'!P$18)*(Application!$AC$718:$AC$752 = 'CalHFA Addendum'!$B19),Application!$G$718:$G$752)</f>
        <v>6</v>
      </c>
      <c r="Q19" s="2285"/>
      <c r="R19" s="2285"/>
      <c r="S19" s="2285"/>
      <c r="T19" s="2285"/>
      <c r="U19" s="2286"/>
      <c r="V19" s="2284" cm="1">
        <f t="array" ref="V19">SUMPRODUCT((Application!$B$714:$B$738 = 'CalHFA Addendum'!V$18)*(Application!$AC$714:$AC$738 = 'CalHFA Addendum'!$B19),Application!$G$714:$G$738)</f>
        <v>7</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0.1015625</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13</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v>
      </c>
      <c r="W21" s="2285"/>
      <c r="X21" s="2285"/>
      <c r="Y21" s="2285"/>
      <c r="Z21" s="2285"/>
      <c r="AA21" s="2286"/>
      <c r="AB21" s="2284" cm="1">
        <f t="array" ref="AB21">SUMPRODUCT((Application!$B$714:$B$738 = 'CalHFA Addendum'!AB$18)*(Application!$AC$714:$AC$738 = 'CalHFA Addendum'!$B21),Application!$G$714:$G$738)</f>
        <v>7</v>
      </c>
      <c r="AC21" s="2285"/>
      <c r="AD21" s="2285"/>
      <c r="AE21" s="2285"/>
      <c r="AF21" s="2285"/>
      <c r="AG21" s="2286"/>
      <c r="AH21" s="2284" cm="1">
        <f t="array" ref="AH21">SUMPRODUCT((Application!$B$714:$B$738 = 'CalHFA Addendum'!AH$18)*(Application!$AC$714:$AC$738 = 'CalHFA Addendum'!$B21),Application!$G$714:$G$738)</f>
        <v>4</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0.1015625</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49</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9</v>
      </c>
      <c r="W22" s="2285"/>
      <c r="X22" s="2285"/>
      <c r="Y22" s="2285"/>
      <c r="Z22" s="2285"/>
      <c r="AA22" s="2286"/>
      <c r="AB22" s="2284" cm="1">
        <f t="array" ref="AB22">SUMPRODUCT((Application!$B$714:$B$738 = 'CalHFA Addendum'!AB$18)*(Application!$AC$714:$AC$738 = 'CalHFA Addendum'!$B22),Application!$G$714:$G$738)</f>
        <v>40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0.3828125</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52</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19</v>
      </c>
      <c r="AC23" s="2285"/>
      <c r="AD23" s="2285"/>
      <c r="AE23" s="2285"/>
      <c r="AF23" s="2285"/>
      <c r="AG23" s="2286"/>
      <c r="AH23" s="2284" cm="1">
        <f t="array" ref="AH23">SUMPRODUCT((Application!$B$714:$B$738 = 'CalHFA Addendum'!AH$18)*(Application!$AC$714:$AC$738 = 'CalHFA Addendum'!$B23),Application!$G$714:$G$738)</f>
        <v>33</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0.40625</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2430</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7.8125E-3</v>
      </c>
      <c r="AU28" s="2279"/>
      <c r="AV28" s="2279"/>
      <c r="AW28" s="2279"/>
      <c r="AX28" s="2279"/>
      <c r="AY28" s="2280"/>
      <c r="AZ28" s="1190"/>
      <c r="BA28" s="1190"/>
      <c r="BB28" s="1190"/>
      <c r="BC28" s="1190"/>
      <c r="BD28" s="1190"/>
      <c r="BE28" s="1194"/>
    </row>
    <row r="29" spans="1:58" thickBot="1">
      <c r="A29" s="1190"/>
      <c r="B29" s="2255" t="s">
        <v>1584</v>
      </c>
      <c r="C29" s="2228"/>
      <c r="D29" s="2228"/>
      <c r="E29" s="2228"/>
      <c r="F29" s="2228"/>
      <c r="G29" s="2228"/>
      <c r="H29" s="2228"/>
      <c r="I29" s="2229"/>
      <c r="J29" s="2227">
        <f>SUM(J19:O28)</f>
        <v>128</v>
      </c>
      <c r="K29" s="2228"/>
      <c r="L29" s="2228"/>
      <c r="M29" s="2228"/>
      <c r="N29" s="2228"/>
      <c r="O29" s="2229"/>
      <c r="P29" s="2227">
        <f>SUM(P19:U28)</f>
        <v>6</v>
      </c>
      <c r="Q29" s="2228"/>
      <c r="R29" s="2228"/>
      <c r="S29" s="2228"/>
      <c r="T29" s="2228"/>
      <c r="U29" s="2229"/>
      <c r="V29" s="2227">
        <f>SUM(V19:AA28)</f>
        <v>18</v>
      </c>
      <c r="W29" s="2228"/>
      <c r="X29" s="2228"/>
      <c r="Y29" s="2228"/>
      <c r="Z29" s="2228"/>
      <c r="AA29" s="2229"/>
      <c r="AB29" s="2227">
        <f>SUM(AB19:AG28)</f>
        <v>67</v>
      </c>
      <c r="AC29" s="2228"/>
      <c r="AD29" s="2228"/>
      <c r="AE29" s="2228"/>
      <c r="AF29" s="2228"/>
      <c r="AG29" s="2229"/>
      <c r="AH29" s="2227">
        <f>SUM(AH19:AM28)</f>
        <v>37</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2429</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2428</v>
      </c>
      <c r="C32" s="2237"/>
      <c r="D32" s="2237"/>
      <c r="E32" s="2237"/>
      <c r="F32" s="2237"/>
      <c r="G32" s="2237"/>
      <c r="H32" s="2237"/>
      <c r="I32" s="2237"/>
      <c r="J32" s="2240" t="s">
        <v>2427</v>
      </c>
      <c r="K32" s="2241"/>
      <c r="L32" s="2241"/>
      <c r="M32" s="2241"/>
      <c r="N32" s="2240" t="s">
        <v>2426</v>
      </c>
      <c r="O32" s="2241"/>
      <c r="P32" s="2241"/>
      <c r="Q32" s="2243"/>
      <c r="R32" s="2245" t="s">
        <v>2425</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2424</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2423</v>
      </c>
      <c r="AT35" s="2257"/>
      <c r="AU35" s="2257"/>
      <c r="AV35" s="2257"/>
      <c r="AW35" s="2257"/>
      <c r="AX35" s="2265"/>
      <c r="AY35" s="2256" t="s">
        <v>2422</v>
      </c>
      <c r="AZ35" s="2257"/>
      <c r="BA35" s="2257"/>
      <c r="BB35" s="2257"/>
      <c r="BC35" s="2257"/>
      <c r="BD35" s="2258"/>
      <c r="BE35" s="1194"/>
    </row>
    <row r="36" spans="1:58" ht="15.75" customHeight="1">
      <c r="A36" s="1190"/>
      <c r="B36" s="2160" t="s">
        <v>2421</v>
      </c>
      <c r="C36" s="2161"/>
      <c r="D36" s="2161"/>
      <c r="E36" s="2161"/>
      <c r="F36" s="2161"/>
      <c r="G36" s="2161"/>
      <c r="H36" s="2161"/>
      <c r="I36" s="2161"/>
      <c r="J36" s="2225" t="s">
        <v>2420</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2419</v>
      </c>
      <c r="C37" s="2161"/>
      <c r="D37" s="2161"/>
      <c r="E37" s="2161"/>
      <c r="F37" s="2161"/>
      <c r="G37" s="2161"/>
      <c r="H37" s="2161"/>
      <c r="I37" s="2161"/>
      <c r="J37" s="2225" t="s">
        <v>2418</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2417</v>
      </c>
      <c r="C38" s="2161"/>
      <c r="D38" s="2161"/>
      <c r="E38" s="2161"/>
      <c r="F38" s="2161"/>
      <c r="G38" s="2161"/>
      <c r="H38" s="2161"/>
      <c r="I38" s="2161"/>
      <c r="J38" s="2225" t="s">
        <v>2416</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2415</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2415</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2414</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2414</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2413</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2412</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2411</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2335</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2408</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2407</v>
      </c>
      <c r="K51" s="2103"/>
      <c r="L51" s="2103"/>
      <c r="M51" s="2103"/>
      <c r="N51" s="2103"/>
      <c r="O51" s="2103"/>
      <c r="P51" s="2103"/>
      <c r="Q51" s="2103"/>
      <c r="R51" s="2204" t="s">
        <v>2406</v>
      </c>
      <c r="S51" s="2204"/>
      <c r="T51" s="2204"/>
      <c r="U51" s="2204"/>
      <c r="V51" s="2204"/>
      <c r="W51" s="2204"/>
      <c r="X51" s="2204"/>
      <c r="Y51" s="2204"/>
      <c r="Z51" s="2204" t="s">
        <v>2405</v>
      </c>
      <c r="AA51" s="2204"/>
      <c r="AB51" s="2204"/>
      <c r="AC51" s="2204"/>
      <c r="AD51" s="2204"/>
      <c r="AE51" s="2204"/>
      <c r="AF51" s="2204"/>
      <c r="AG51" s="2204"/>
      <c r="AH51" s="2204" t="s">
        <v>2404</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2403</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2402</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1584</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7" t="s">
        <v>668</v>
      </c>
      <c r="AW68" s="2083"/>
      <c r="AX68" s="2083"/>
      <c r="AY68" s="2083"/>
      <c r="AZ68" s="2083"/>
      <c r="BA68" s="2083"/>
      <c r="BB68" s="2083"/>
      <c r="BC68" s="2084"/>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668</v>
      </c>
      <c r="AW69" s="2083"/>
      <c r="AX69" s="2083"/>
      <c r="AY69" s="2083"/>
      <c r="AZ69" s="2083"/>
      <c r="BA69" s="2083"/>
      <c r="BB69" s="2083"/>
      <c r="BC69" s="2084"/>
      <c r="BD69" s="1190"/>
      <c r="BE69" s="1194"/>
      <c r="BM69" s="1200" t="s">
        <v>544</v>
      </c>
    </row>
    <row r="70" spans="1:94" ht="15.75" customHeight="1">
      <c r="A70" s="1190"/>
      <c r="B70" s="2160" t="s">
        <v>2392</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2391</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668</v>
      </c>
    </row>
    <row r="71" spans="1:94" ht="15.75" customHeight="1" thickBot="1">
      <c r="A71" s="1190"/>
      <c r="B71" s="2160" t="s">
        <v>2390</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2385</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2330</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2187</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544</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2346</v>
      </c>
      <c r="P84" s="2103"/>
      <c r="Q84" s="2103"/>
      <c r="R84" s="2103"/>
      <c r="S84" s="2103"/>
      <c r="T84" s="2103"/>
      <c r="U84" s="2103"/>
      <c r="V84" s="2139" t="s">
        <v>2345</v>
      </c>
      <c r="W84" s="2139"/>
      <c r="X84" s="2139"/>
      <c r="Y84" s="2139"/>
      <c r="Z84" s="2139"/>
      <c r="AA84" s="2139"/>
      <c r="AB84" s="2073" t="s">
        <v>2369</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2374</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2187</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544</v>
      </c>
      <c r="AZ96" s="2141"/>
      <c r="BA96" s="2141"/>
      <c r="BB96" s="2142"/>
      <c r="BC96" s="1190"/>
      <c r="BD96" s="1190"/>
      <c r="BE96" s="1194"/>
      <c r="BQ96" s="1256" t="str">
        <f>Application!M243&amp;IF(TRIM(Application!AA249)&lt;&gt;""," ("&amp;Application!AA249&amp;")","")</f>
        <v>Warner Center II, LLC  (Meta Development, LLC)</v>
      </c>
      <c r="BR96" s="1259">
        <f>Application!AH246</f>
        <v>5.1000000000000004E-3</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2346</v>
      </c>
      <c r="P97" s="2103"/>
      <c r="Q97" s="2103"/>
      <c r="R97" s="2103"/>
      <c r="S97" s="2103"/>
      <c r="T97" s="2103"/>
      <c r="U97" s="2103"/>
      <c r="V97" s="2139" t="s">
        <v>2345</v>
      </c>
      <c r="W97" s="2139"/>
      <c r="X97" s="2139"/>
      <c r="Y97" s="2139"/>
      <c r="Z97" s="2139"/>
      <c r="AA97" s="2139"/>
      <c r="AB97" s="2073" t="s">
        <v>2369</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FFAH V Warner Center II, LLC  (Foundation For Affordable Housing V, Inc.  )</v>
      </c>
      <c r="BR97" s="1259" t="str">
        <f>Application!AH254</f>
        <v>0. 0049</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2368</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Solari Enterprises,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2346</v>
      </c>
      <c r="P108" s="2103"/>
      <c r="Q108" s="2103"/>
      <c r="R108" s="2103"/>
      <c r="S108" s="2103"/>
      <c r="T108" s="2103"/>
      <c r="U108" s="2103"/>
      <c r="V108" s="2139" t="s">
        <v>2345</v>
      </c>
      <c r="W108" s="2139"/>
      <c r="X108" s="2139"/>
      <c r="Y108" s="2139"/>
      <c r="Z108" s="2139"/>
      <c r="AA108" s="2139"/>
      <c r="AB108" s="2073" t="s">
        <v>2369</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544</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544</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1574</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2361</v>
      </c>
      <c r="J127" s="2103"/>
      <c r="K127" s="2103"/>
      <c r="L127" s="2103"/>
      <c r="M127" s="2103"/>
      <c r="N127" s="2103"/>
      <c r="O127" s="2104" t="s">
        <v>2360</v>
      </c>
      <c r="P127" s="2104"/>
      <c r="Q127" s="2104"/>
      <c r="R127" s="2104"/>
      <c r="S127" s="2104"/>
      <c r="T127" s="2104"/>
      <c r="U127" s="2105"/>
      <c r="V127" s="1190"/>
      <c r="W127" s="1190"/>
      <c r="X127" s="2043" t="s">
        <v>2330</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2344</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2343</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2346</v>
      </c>
      <c r="J134" s="2078"/>
      <c r="K134" s="2078"/>
      <c r="L134" s="2078"/>
      <c r="M134" s="2078"/>
      <c r="N134" s="2078"/>
      <c r="O134" s="2078"/>
      <c r="P134" s="2078" t="s">
        <v>2345</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2344</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2343</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544</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2356</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2355</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544</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2354</v>
      </c>
      <c r="C142" s="2086"/>
      <c r="D142" s="2086"/>
      <c r="E142" s="2086"/>
      <c r="F142" s="2086"/>
      <c r="G142" s="2086"/>
      <c r="H142" s="2086"/>
      <c r="I142" s="2086"/>
      <c r="J142" s="2086"/>
      <c r="K142" s="2086"/>
      <c r="L142" s="2086"/>
      <c r="M142" s="2086"/>
      <c r="N142" s="2086"/>
      <c r="O142" s="2086"/>
      <c r="P142" s="2086"/>
      <c r="Q142" s="2086"/>
      <c r="R142" s="2087" t="s">
        <v>2353</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2352</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2349</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2348</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2346</v>
      </c>
      <c r="J157" s="2078"/>
      <c r="K157" s="2078"/>
      <c r="L157" s="2078"/>
      <c r="M157" s="2078"/>
      <c r="N157" s="2078"/>
      <c r="O157" s="2078"/>
      <c r="P157" s="2078" t="s">
        <v>2347</v>
      </c>
      <c r="Q157" s="2078"/>
      <c r="R157" s="2078"/>
      <c r="S157" s="2078"/>
      <c r="T157" s="2078"/>
      <c r="U157" s="2079"/>
      <c r="V157" s="1190"/>
      <c r="W157" s="1190"/>
      <c r="X157" s="2040"/>
      <c r="Y157" s="2041"/>
      <c r="Z157" s="2041"/>
      <c r="AA157" s="2041"/>
      <c r="AB157" s="2041"/>
      <c r="AC157" s="2041"/>
      <c r="AD157" s="2041"/>
      <c r="AE157" s="2078" t="s">
        <v>2346</v>
      </c>
      <c r="AF157" s="2078"/>
      <c r="AG157" s="2078"/>
      <c r="AH157" s="2078"/>
      <c r="AI157" s="2078"/>
      <c r="AJ157" s="2078"/>
      <c r="AK157" s="2078"/>
      <c r="AL157" s="2078" t="s">
        <v>2345</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2344</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2344</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2343</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2342</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2327</v>
      </c>
      <c r="D163" s="2041"/>
      <c r="E163" s="2041"/>
      <c r="F163" s="2041"/>
      <c r="G163" s="2041"/>
      <c r="H163" s="2041"/>
      <c r="I163" s="2041"/>
      <c r="J163" s="2041"/>
      <c r="K163" s="2041"/>
      <c r="L163" s="2041"/>
      <c r="M163" s="2041"/>
      <c r="N163" s="2041"/>
      <c r="O163" s="2041"/>
      <c r="P163" s="2041"/>
      <c r="Q163" s="2041" t="s">
        <v>2341</v>
      </c>
      <c r="R163" s="2041"/>
      <c r="S163" s="2041"/>
      <c r="T163" s="2073" t="s">
        <v>2340</v>
      </c>
      <c r="U163" s="2073"/>
      <c r="V163" s="2073"/>
      <c r="W163" s="2073"/>
      <c r="X163" s="2073"/>
      <c r="Y163" s="2073"/>
      <c r="Z163" s="2073"/>
      <c r="AA163" s="2073"/>
      <c r="AB163" s="2041" t="s">
        <v>2339</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2338</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2337</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2336</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2335</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2316</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2316</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2316</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2334</v>
      </c>
      <c r="D172" s="2027"/>
      <c r="E172" s="2027"/>
      <c r="F172" s="2027"/>
      <c r="G172" s="2027"/>
      <c r="H172" s="2027"/>
      <c r="I172" s="2027"/>
      <c r="J172" s="2027"/>
      <c r="K172" s="2027"/>
      <c r="L172" s="2027"/>
      <c r="M172" s="2027"/>
      <c r="N172" s="2036"/>
      <c r="O172" s="1190"/>
      <c r="P172" s="2037" t="s">
        <v>2333</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2332</v>
      </c>
      <c r="D173" s="2041"/>
      <c r="E173" s="2041"/>
      <c r="F173" s="2041"/>
      <c r="G173" s="2041"/>
      <c r="H173" s="2041"/>
      <c r="I173" s="2041" t="s">
        <v>2331</v>
      </c>
      <c r="J173" s="2041"/>
      <c r="K173" s="2041"/>
      <c r="L173" s="2041"/>
      <c r="M173" s="2041"/>
      <c r="N173" s="2042"/>
      <c r="O173" s="1190"/>
      <c r="P173" s="2043" t="s">
        <v>2330</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2329</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2327</v>
      </c>
      <c r="D184" s="2027"/>
      <c r="E184" s="2027"/>
      <c r="F184" s="2027"/>
      <c r="G184" s="2027"/>
      <c r="H184" s="2027"/>
      <c r="I184" s="2027"/>
      <c r="J184" s="2027"/>
      <c r="K184" s="2027"/>
      <c r="L184" s="2027"/>
      <c r="M184" s="2027"/>
      <c r="N184" s="2027" t="s">
        <v>2328</v>
      </c>
      <c r="O184" s="2027"/>
      <c r="P184" s="2027"/>
      <c r="Q184" s="2027"/>
      <c r="R184" s="2027"/>
      <c r="S184" s="2027"/>
      <c r="T184" s="2027"/>
      <c r="U184" s="2028" t="s">
        <v>2327</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2326</v>
      </c>
      <c r="D185" s="2006"/>
      <c r="E185" s="2006"/>
      <c r="F185" s="2006"/>
      <c r="G185" s="2006"/>
      <c r="H185" s="2006"/>
      <c r="I185" s="2006"/>
      <c r="J185" s="2006"/>
      <c r="K185" s="2006"/>
      <c r="L185" s="2006"/>
      <c r="M185" s="2006"/>
      <c r="N185" s="2016">
        <f>'Sources and Uses Budget'!B105</f>
        <v>58945214</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2325</v>
      </c>
      <c r="D186" s="2006"/>
      <c r="E186" s="2006"/>
      <c r="F186" s="2006"/>
      <c r="G186" s="2006"/>
      <c r="H186" s="2006"/>
      <c r="I186" s="2006"/>
      <c r="J186" s="2006"/>
      <c r="K186" s="2006"/>
      <c r="L186" s="2006"/>
      <c r="M186" s="2006"/>
      <c r="N186" s="2016">
        <f>N185/J29</f>
        <v>460509.484375</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2324</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2323</v>
      </c>
      <c r="D188" s="2006"/>
      <c r="E188" s="2006"/>
      <c r="F188" s="2006"/>
      <c r="G188" s="2006"/>
      <c r="H188" s="2006"/>
      <c r="I188" s="2006"/>
      <c r="J188" s="2006"/>
      <c r="K188" s="2006"/>
      <c r="L188" s="2006"/>
      <c r="M188" s="2006"/>
      <c r="N188" s="2035">
        <f>SUM('Sources and Uses Budget'!B85:B86)</f>
        <v>1394102</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2322</v>
      </c>
      <c r="D189" s="2006"/>
      <c r="E189" s="2006"/>
      <c r="F189" s="2006"/>
      <c r="G189" s="2006"/>
      <c r="H189" s="2006"/>
      <c r="I189" s="2006"/>
      <c r="J189" s="2006"/>
      <c r="K189" s="2006"/>
      <c r="L189" s="2006"/>
      <c r="M189" s="2006"/>
      <c r="N189" s="2035">
        <f>'Sources and Uses Budget'!B8</f>
        <v>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2320</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2321</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2320</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2319</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2318</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2316</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2317</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2316</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2316</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2315</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2314</v>
      </c>
      <c r="D195" s="1960"/>
      <c r="E195" s="1960"/>
      <c r="F195" s="1960"/>
      <c r="G195" s="1960"/>
      <c r="H195" s="1960"/>
      <c r="I195" s="1960"/>
      <c r="J195" s="1960"/>
      <c r="K195" s="1960"/>
      <c r="L195" s="1960"/>
      <c r="M195" s="1960"/>
      <c r="N195" s="1961">
        <f>SUM(N187:T194)</f>
        <v>1394102</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2313</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2312</v>
      </c>
      <c r="D196" s="1970"/>
      <c r="E196" s="1970"/>
      <c r="F196" s="1970"/>
      <c r="G196" s="1970"/>
      <c r="H196" s="1970"/>
      <c r="I196" s="1970"/>
      <c r="J196" s="1970"/>
      <c r="K196" s="1970"/>
      <c r="L196" s="1970"/>
      <c r="M196" s="1970"/>
      <c r="N196" s="1971">
        <f>(N185-N195)/J29</f>
        <v>449618.0625</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2311</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2310</v>
      </c>
      <c r="D200" s="1957"/>
      <c r="E200" s="1957"/>
      <c r="F200" s="1957"/>
      <c r="G200" s="1957"/>
      <c r="H200" s="1957"/>
      <c r="I200" s="1957"/>
      <c r="J200" s="1957"/>
      <c r="K200" s="1957"/>
      <c r="L200" s="1957"/>
      <c r="M200" s="1957"/>
      <c r="N200" s="1957"/>
      <c r="O200" s="1958" t="s">
        <v>2309</v>
      </c>
      <c r="P200" s="1958"/>
      <c r="Q200" s="1958"/>
      <c r="R200" s="1958"/>
      <c r="S200" s="1958"/>
      <c r="T200" s="1958"/>
      <c r="U200" s="1958"/>
      <c r="V200" s="1958"/>
      <c r="W200" s="1958"/>
      <c r="X200" s="1958" t="s">
        <v>2308</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2307</v>
      </c>
      <c r="D201" s="1949"/>
      <c r="E201" s="1949"/>
      <c r="F201" s="1949"/>
      <c r="G201" s="1949"/>
      <c r="H201" s="1949"/>
      <c r="I201" s="1949"/>
      <c r="J201" s="1949"/>
      <c r="K201" s="1949"/>
      <c r="L201" s="1949"/>
      <c r="M201" s="1949"/>
      <c r="N201" s="1949"/>
      <c r="O201" s="1950" t="s">
        <v>2306</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853</v>
      </c>
      <c r="D202" s="1949"/>
      <c r="E202" s="1949"/>
      <c r="F202" s="1949"/>
      <c r="G202" s="1949"/>
      <c r="H202" s="1949"/>
      <c r="I202" s="1949"/>
      <c r="J202" s="1949"/>
      <c r="K202" s="1949"/>
      <c r="L202" s="1949"/>
      <c r="M202" s="1949"/>
      <c r="N202" s="1949"/>
      <c r="O202" s="1950" t="s">
        <v>2306</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2305</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2304</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2303</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2302</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2301</v>
      </c>
      <c r="D207" s="1928"/>
      <c r="E207" s="1928"/>
      <c r="F207" s="1929"/>
      <c r="G207" s="1933" t="s">
        <v>2300</v>
      </c>
      <c r="H207" s="1928"/>
      <c r="I207" s="1928"/>
      <c r="J207" s="1928"/>
      <c r="K207" s="1928"/>
      <c r="L207" s="1928"/>
      <c r="M207" s="1928"/>
      <c r="N207" s="1928"/>
      <c r="O207" s="1929"/>
      <c r="P207" s="1935" t="s">
        <v>2299</v>
      </c>
      <c r="Q207" s="1936"/>
      <c r="R207" s="1936"/>
      <c r="S207" s="1936"/>
      <c r="T207" s="1937"/>
      <c r="U207" s="1941" t="s">
        <v>2298</v>
      </c>
      <c r="V207" s="1942"/>
      <c r="W207" s="1942"/>
      <c r="X207" s="1943"/>
      <c r="Y207" s="1941" t="s">
        <v>2297</v>
      </c>
      <c r="Z207" s="1942"/>
      <c r="AA207" s="1942"/>
      <c r="AB207" s="1943"/>
      <c r="AC207" s="1941" t="s">
        <v>2296</v>
      </c>
      <c r="AD207" s="1942"/>
      <c r="AE207" s="1942"/>
      <c r="AF207" s="1943"/>
      <c r="AG207" s="1933" t="s">
        <v>2295</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1883</v>
      </c>
      <c r="H209" s="1918"/>
      <c r="I209" s="1918"/>
      <c r="J209" s="1918"/>
      <c r="K209" s="1918"/>
      <c r="L209" s="1918"/>
      <c r="M209" s="1918"/>
      <c r="N209" s="1918"/>
      <c r="O209" s="1918"/>
      <c r="P209" s="1919"/>
      <c r="Q209" s="1922"/>
      <c r="R209" s="1922"/>
      <c r="S209" s="1922"/>
      <c r="T209" s="1922"/>
      <c r="U209" s="1920" t="s">
        <v>1883</v>
      </c>
      <c r="V209" s="1920"/>
      <c r="W209" s="1920"/>
      <c r="X209" s="1920"/>
      <c r="Y209" s="1920" t="s">
        <v>1883</v>
      </c>
      <c r="Z209" s="1920"/>
      <c r="AA209" s="1920"/>
      <c r="AB209" s="1920"/>
      <c r="AC209" s="1921" t="s">
        <v>1883</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1883</v>
      </c>
      <c r="H210" s="1918"/>
      <c r="I210" s="1918"/>
      <c r="J210" s="1918"/>
      <c r="K210" s="1918"/>
      <c r="L210" s="1918"/>
      <c r="M210" s="1918"/>
      <c r="N210" s="1918"/>
      <c r="O210" s="1918"/>
      <c r="P210" s="1919"/>
      <c r="Q210" s="1919"/>
      <c r="R210" s="1919"/>
      <c r="S210" s="1919"/>
      <c r="T210" s="1919"/>
      <c r="U210" s="1920" t="s">
        <v>1883</v>
      </c>
      <c r="V210" s="1920"/>
      <c r="W210" s="1920"/>
      <c r="X210" s="1920"/>
      <c r="Y210" s="1920" t="s">
        <v>1883</v>
      </c>
      <c r="Z210" s="1920"/>
      <c r="AA210" s="1920"/>
      <c r="AB210" s="1920"/>
      <c r="AC210" s="1921" t="s">
        <v>1883</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1883</v>
      </c>
      <c r="H211" s="1918"/>
      <c r="I211" s="1918"/>
      <c r="J211" s="1918"/>
      <c r="K211" s="1918"/>
      <c r="L211" s="1918"/>
      <c r="M211" s="1918"/>
      <c r="N211" s="1918"/>
      <c r="O211" s="1918"/>
      <c r="P211" s="1919"/>
      <c r="Q211" s="1919"/>
      <c r="R211" s="1919"/>
      <c r="S211" s="1919"/>
      <c r="T211" s="1919"/>
      <c r="U211" s="1920" t="s">
        <v>1883</v>
      </c>
      <c r="V211" s="1920"/>
      <c r="W211" s="1920"/>
      <c r="X211" s="1920"/>
      <c r="Y211" s="1920" t="s">
        <v>1883</v>
      </c>
      <c r="Z211" s="1920"/>
      <c r="AA211" s="1920"/>
      <c r="AB211" s="1920"/>
      <c r="AC211" s="1921" t="s">
        <v>1883</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1883</v>
      </c>
      <c r="H212" s="1918"/>
      <c r="I212" s="1918"/>
      <c r="J212" s="1918"/>
      <c r="K212" s="1918"/>
      <c r="L212" s="1918"/>
      <c r="M212" s="1918"/>
      <c r="N212" s="1918"/>
      <c r="O212" s="1918"/>
      <c r="P212" s="1919"/>
      <c r="Q212" s="1919"/>
      <c r="R212" s="1919"/>
      <c r="S212" s="1919"/>
      <c r="T212" s="1919"/>
      <c r="U212" s="1920" t="s">
        <v>1883</v>
      </c>
      <c r="V212" s="1920"/>
      <c r="W212" s="1920"/>
      <c r="X212" s="1920"/>
      <c r="Y212" s="1920" t="s">
        <v>1883</v>
      </c>
      <c r="Z212" s="1920"/>
      <c r="AA212" s="1920"/>
      <c r="AB212" s="1920"/>
      <c r="AC212" s="1921" t="s">
        <v>1883</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1883</v>
      </c>
      <c r="H213" s="1918"/>
      <c r="I213" s="1918"/>
      <c r="J213" s="1918"/>
      <c r="K213" s="1918"/>
      <c r="L213" s="1918"/>
      <c r="M213" s="1918"/>
      <c r="N213" s="1918"/>
      <c r="O213" s="1918"/>
      <c r="P213" s="1919"/>
      <c r="Q213" s="1919"/>
      <c r="R213" s="1919"/>
      <c r="S213" s="1919"/>
      <c r="T213" s="1919"/>
      <c r="U213" s="1920" t="s">
        <v>1883</v>
      </c>
      <c r="V213" s="1920"/>
      <c r="W213" s="1920"/>
      <c r="X213" s="1920"/>
      <c r="Y213" s="1920" t="s">
        <v>1883</v>
      </c>
      <c r="Z213" s="1920"/>
      <c r="AA213" s="1920"/>
      <c r="AB213" s="1920"/>
      <c r="AC213" s="1921" t="s">
        <v>1883</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1883</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1883</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1883</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2294</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2292</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2291</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2290</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2289</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2287</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2286</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2285</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2284</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2283</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440</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2282</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2281</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8" workbookViewId="0">
      <selection activeCell="AB57" sqref="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1278</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54746591</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496</v>
      </c>
      <c r="C12" s="1309"/>
      <c r="D12" s="1309"/>
      <c r="E12" s="1309"/>
      <c r="F12" s="1309"/>
      <c r="G12" s="1309"/>
      <c r="H12" s="1309"/>
      <c r="I12" s="1309"/>
      <c r="J12" s="1309"/>
      <c r="K12" s="1309"/>
      <c r="L12" s="1309"/>
      <c r="M12" s="1309"/>
      <c r="N12" s="1309"/>
      <c r="O12" s="1309"/>
      <c r="P12" s="1309"/>
      <c r="Q12" s="1309"/>
      <c r="R12" s="1309"/>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497</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498</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499</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804</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500</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51" t="s">
        <v>958</v>
      </c>
      <c r="D18" s="1551"/>
      <c r="E18" s="1551"/>
      <c r="F18" s="1551"/>
      <c r="G18" s="1551"/>
      <c r="H18" s="1551"/>
      <c r="I18" s="1551"/>
      <c r="J18" s="1551"/>
      <c r="K18" s="1551"/>
      <c r="L18" s="1551"/>
      <c r="M18" s="1551"/>
      <c r="N18" s="1551"/>
      <c r="O18" s="1551"/>
      <c r="P18" s="1551"/>
      <c r="Q18" s="1551"/>
      <c r="R18" s="1551"/>
      <c r="S18" s="1552"/>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51" t="s">
        <v>958</v>
      </c>
      <c r="D19" s="1551"/>
      <c r="E19" s="1551"/>
      <c r="F19" s="1551"/>
      <c r="G19" s="1551"/>
      <c r="H19" s="1551"/>
      <c r="I19" s="1551"/>
      <c r="J19" s="1551"/>
      <c r="K19" s="1551"/>
      <c r="L19" s="1551"/>
      <c r="M19" s="1551"/>
      <c r="N19" s="1551"/>
      <c r="O19" s="1551"/>
      <c r="P19" s="1551"/>
      <c r="Q19" s="1551"/>
      <c r="R19" s="1551"/>
      <c r="S19" s="1552"/>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501</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1261</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502</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503</v>
      </c>
      <c r="C23" s="2343"/>
      <c r="D23" s="2343"/>
      <c r="E23" s="2343"/>
      <c r="F23" s="2343"/>
      <c r="G23" s="2343"/>
      <c r="H23" s="2343"/>
      <c r="I23" s="2343"/>
      <c r="J23" s="2343"/>
      <c r="K23" s="2343"/>
      <c r="L23" s="2343"/>
      <c r="M23" s="2343"/>
      <c r="N23" s="2343"/>
      <c r="O23" s="2343"/>
      <c r="P23" s="2343"/>
      <c r="Q23" s="2343"/>
      <c r="R23" s="2343"/>
      <c r="S23" s="2344"/>
      <c r="T23" s="2355">
        <f>T11+T22</f>
        <v>54746591</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959</v>
      </c>
      <c r="C24" s="2343"/>
      <c r="D24" s="2343"/>
      <c r="E24" s="2343"/>
      <c r="F24" s="2343"/>
      <c r="G24" s="2343"/>
      <c r="H24" s="2343"/>
      <c r="I24" s="2343"/>
      <c r="J24" s="2343"/>
      <c r="K24" s="2343"/>
      <c r="L24" s="2343"/>
      <c r="M24" s="2343"/>
      <c r="N24" s="2343"/>
      <c r="O24" s="2343"/>
      <c r="P24" s="2343"/>
      <c r="Q24" s="2343"/>
      <c r="R24" s="2343"/>
      <c r="S24" s="2344"/>
      <c r="T24" s="2346">
        <f>Application!AJ1053</f>
        <v>130133184</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1262</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504</v>
      </c>
      <c r="C26" s="2343"/>
      <c r="D26" s="2343"/>
      <c r="E26" s="2343"/>
      <c r="F26" s="2343"/>
      <c r="G26" s="2343"/>
      <c r="H26" s="2343"/>
      <c r="I26" s="2343"/>
      <c r="J26" s="2343"/>
      <c r="K26" s="2343"/>
      <c r="L26" s="2343"/>
      <c r="M26" s="2343"/>
      <c r="N26" s="2343"/>
      <c r="O26" s="2343"/>
      <c r="P26" s="2343"/>
      <c r="Q26" s="2343"/>
      <c r="R26" s="2343"/>
      <c r="S26" s="2344"/>
      <c r="T26" s="2355">
        <f>T23*T25</f>
        <v>71170568.299999997</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55">
        <f>IF(ISERROR((T26*T27)),0,(T26*T27))</f>
        <v>71170568.299999997</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522</v>
      </c>
      <c r="C29" s="2343"/>
      <c r="D29" s="2343"/>
      <c r="E29" s="2343"/>
      <c r="F29" s="2343"/>
      <c r="G29" s="2343"/>
      <c r="H29" s="2343"/>
      <c r="I29" s="2343"/>
      <c r="J29" s="2343"/>
      <c r="K29" s="2343"/>
      <c r="L29" s="2343"/>
      <c r="M29" s="2343"/>
      <c r="N29" s="2343"/>
      <c r="O29" s="2343"/>
      <c r="P29" s="2343"/>
      <c r="Q29" s="2343"/>
      <c r="R29" s="2343"/>
      <c r="S29" s="2344"/>
      <c r="T29" s="2346">
        <f>T28+Y28+AD28+AI28</f>
        <v>71170568.299999997</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1264</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1263</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1152</v>
      </c>
      <c r="Z35" s="2356"/>
      <c r="AA35" s="2356"/>
      <c r="AB35" s="2356"/>
      <c r="AC35" s="2356"/>
      <c r="AD35" s="2357" t="s">
        <v>368</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71170568.299999997</v>
      </c>
      <c r="Z38" s="2336"/>
      <c r="AA38" s="2336"/>
      <c r="AB38" s="2336"/>
      <c r="AC38" s="2336"/>
      <c r="AD38" s="2336">
        <f>IF(T24&gt;=(T23+Y23+AD23+AI23),AD28+AI28,0)</f>
        <v>0</v>
      </c>
      <c r="AE38" s="2336"/>
      <c r="AF38" s="2336"/>
      <c r="AG38" s="2336"/>
      <c r="AH38" s="2336"/>
    </row>
    <row r="39" spans="1:76" ht="12.95" customHeight="1">
      <c r="B39" s="2342" t="s">
        <v>1689</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641</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2846823</v>
      </c>
      <c r="Z40" s="2336"/>
      <c r="AA40" s="2336"/>
      <c r="AB40" s="2336"/>
      <c r="AC40" s="2336"/>
      <c r="AD40" s="2355">
        <f>ROUND(AD38*AD39,0)</f>
        <v>0</v>
      </c>
      <c r="AE40" s="2336"/>
      <c r="AF40" s="2336"/>
      <c r="AG40" s="2336"/>
      <c r="AH40" s="2336"/>
    </row>
    <row r="41" spans="1:76" ht="12.95" customHeight="1">
      <c r="B41" s="2342" t="s">
        <v>642</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2846823</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1274</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585</v>
      </c>
      <c r="C46" s="404" t="s">
        <v>281</v>
      </c>
    </row>
    <row r="47" spans="1:76" ht="12.95" customHeight="1">
      <c r="D47" s="404" t="s">
        <v>282</v>
      </c>
      <c r="AB47" s="2350">
        <f>'Sources and Uses Budget'!B105-MAX(IF('Sources and Uses Budget'!B15="",0,'Sources and Uses Budget'!B15),IF(Application!AG394="",0,Application!AG394))</f>
        <v>58945214</v>
      </c>
      <c r="AC47" s="2351"/>
      <c r="AD47" s="2351"/>
      <c r="AE47" s="2351"/>
      <c r="AF47" s="2352"/>
    </row>
    <row r="48" spans="1:76" ht="12.95" customHeight="1">
      <c r="D48" s="404" t="s">
        <v>21</v>
      </c>
      <c r="AB48" s="2350">
        <f>Application!AO639-MAX(IF('Sources and Uses Budget'!B15="",0,'Sources and Uses Budget'!B15),IF(Application!AG394="",0,Application!AG394))</f>
        <v>27166369</v>
      </c>
      <c r="AC48" s="2351"/>
      <c r="AD48" s="2351"/>
      <c r="AE48" s="2351"/>
      <c r="AF48" s="2352"/>
    </row>
    <row r="49" spans="1:76" ht="12.95" customHeight="1">
      <c r="D49" s="404" t="s">
        <v>91</v>
      </c>
      <c r="AB49" s="2350">
        <f>AB47-AB48</f>
        <v>31778845</v>
      </c>
      <c r="AC49" s="2351"/>
      <c r="AD49" s="2351"/>
      <c r="AE49" s="2351"/>
      <c r="AF49" s="2352"/>
    </row>
    <row r="50" spans="1:76" ht="12.95" customHeight="1">
      <c r="D50" s="404" t="s">
        <v>680</v>
      </c>
      <c r="AA50" s="415"/>
      <c r="AB50" s="2338">
        <v>0.89990999999999999</v>
      </c>
      <c r="AC50" s="2339"/>
      <c r="AD50" s="2339"/>
      <c r="AE50" s="2339"/>
      <c r="AF50" s="2340"/>
    </row>
    <row r="51" spans="1:76" s="417" customFormat="1" ht="12.95" customHeight="1">
      <c r="A51" s="402"/>
      <c r="B51" s="402"/>
      <c r="C51" s="402"/>
      <c r="D51" s="402"/>
      <c r="E51" s="2349" t="s">
        <v>1848</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35313359</v>
      </c>
      <c r="AC54" s="2351"/>
      <c r="AD54" s="2351"/>
      <c r="AE54" s="2351"/>
      <c r="AF54" s="2352"/>
    </row>
    <row r="55" spans="1:76" ht="12.95" customHeight="1">
      <c r="D55" s="404" t="s">
        <v>332</v>
      </c>
      <c r="AB55" s="2350">
        <f>(AB54/10)</f>
        <v>3531335.9</v>
      </c>
      <c r="AC55" s="2351"/>
      <c r="AD55" s="2351"/>
      <c r="AE55" s="2351"/>
      <c r="AF55" s="2352"/>
    </row>
    <row r="56" spans="1:76" ht="12.95" customHeight="1">
      <c r="D56" s="404" t="s">
        <v>755</v>
      </c>
      <c r="AB56" s="2350">
        <f>ROUND((IF((Y41&lt;AB55),Y41,AB55)),0)</f>
        <v>2846823</v>
      </c>
      <c r="AC56" s="2351"/>
      <c r="AD56" s="2351"/>
      <c r="AE56" s="2351"/>
      <c r="AF56" s="2352"/>
    </row>
    <row r="57" spans="1:76" ht="12.95" customHeight="1">
      <c r="D57" s="404" t="s">
        <v>754</v>
      </c>
      <c r="AB57" s="2350">
        <f>ROUND((10*AB56*AB50),0)</f>
        <v>25618845</v>
      </c>
      <c r="AC57" s="2351"/>
      <c r="AD57" s="2351"/>
      <c r="AE57" s="2351"/>
      <c r="AF57" s="2352"/>
    </row>
    <row r="58" spans="1:76" ht="12.95" customHeight="1">
      <c r="D58" s="404"/>
      <c r="AB58" s="423"/>
      <c r="AC58" s="423"/>
      <c r="AD58" s="423"/>
      <c r="AE58" s="423"/>
      <c r="AF58" s="423"/>
    </row>
    <row r="59" spans="1:76" ht="12.95" customHeight="1">
      <c r="D59" s="404" t="s">
        <v>753</v>
      </c>
      <c r="AB59" s="2334">
        <f>AB49-AB57</f>
        <v>6160000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588</v>
      </c>
      <c r="C63" s="205" t="s">
        <v>1246</v>
      </c>
      <c r="Y63" s="2345" t="s">
        <v>982</v>
      </c>
      <c r="Z63" s="2345"/>
      <c r="AA63" s="2345"/>
      <c r="AB63" s="2345"/>
      <c r="AC63" s="2345"/>
      <c r="AD63" s="2345" t="s">
        <v>368</v>
      </c>
      <c r="AE63" s="2345"/>
      <c r="AF63" s="2345"/>
      <c r="AG63" s="2345"/>
      <c r="AH63" s="2345"/>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54746591</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0.3</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2.95" customHeight="1">
      <c r="C68" s="404"/>
      <c r="D68" s="205" t="s">
        <v>2224</v>
      </c>
      <c r="Y68" s="2336">
        <f>ROUND(Y64*Y67,0)</f>
        <v>16423977</v>
      </c>
      <c r="Z68" s="2337"/>
      <c r="AA68" s="2337"/>
      <c r="AB68" s="2337"/>
      <c r="AC68" s="2337"/>
      <c r="AD68" s="2336">
        <f>ROUND(AD64*AD67,0)</f>
        <v>0</v>
      </c>
      <c r="AE68" s="2337"/>
      <c r="AF68" s="2337"/>
      <c r="AG68" s="2337"/>
      <c r="AH68" s="2337"/>
    </row>
    <row r="69" spans="1:36" ht="12.95" customHeight="1">
      <c r="C69" s="404"/>
      <c r="D69" s="205" t="s">
        <v>2225</v>
      </c>
      <c r="Y69" s="2336">
        <f>IF(OR(Application!Z205="State Farmworker Credit",Application!Z205="$500M (Farmworker Housing)"),Y68+AD68,MIN(Y68+AD68,200000*(Application!G753+Application!O777)))</f>
        <v>16423977</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1248</v>
      </c>
      <c r="AB72" s="2338">
        <v>0.88</v>
      </c>
      <c r="AC72" s="2339"/>
      <c r="AD72" s="2339"/>
      <c r="AE72" s="2339"/>
      <c r="AF72" s="2340"/>
    </row>
    <row r="73" spans="1:36" ht="12.95" customHeight="1">
      <c r="A73" s="404"/>
      <c r="C73" s="404"/>
      <c r="D73" s="404"/>
      <c r="E73" s="2341" t="s">
        <v>1249</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29">
        <f>ROUND(IF(ISERROR((AB59/AB72)),0,(AB59/AB72)),0)</f>
        <v>7000000</v>
      </c>
      <c r="AC77" s="2329"/>
      <c r="AD77" s="2329"/>
      <c r="AE77" s="2329"/>
      <c r="AF77" s="2329"/>
    </row>
    <row r="78" spans="1:36" ht="12.95" customHeight="1">
      <c r="C78" s="404"/>
      <c r="D78" s="205" t="s">
        <v>1251</v>
      </c>
      <c r="AB78" s="2330">
        <f>ROUNDUP(MIN(Y69,AB77),0)</f>
        <v>7000000</v>
      </c>
      <c r="AC78" s="2331"/>
      <c r="AD78" s="2331"/>
      <c r="AE78" s="2331"/>
      <c r="AF78" s="2332"/>
    </row>
    <row r="79" spans="1:36" ht="12.95" customHeight="1">
      <c r="C79" s="404"/>
      <c r="D79" s="205" t="s">
        <v>1252</v>
      </c>
      <c r="AB79" s="2333">
        <f>AB78*AB72</f>
        <v>6160000</v>
      </c>
      <c r="AC79" s="2333"/>
      <c r="AD79" s="2333"/>
      <c r="AE79" s="2333"/>
      <c r="AF79" s="2333"/>
    </row>
    <row r="80" spans="1:36" ht="12.95" customHeight="1">
      <c r="C80" s="404"/>
      <c r="D80" s="404"/>
      <c r="AB80" s="425"/>
      <c r="AC80" s="425"/>
      <c r="AD80" s="425"/>
      <c r="AE80" s="425"/>
      <c r="AF80" s="425"/>
    </row>
    <row r="81" spans="1:78" ht="12.95" customHeight="1">
      <c r="D81" s="404" t="s">
        <v>753</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D132" sqref="AD1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1298</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1303</v>
      </c>
      <c r="AF7" s="2408"/>
      <c r="AG7" s="2408"/>
      <c r="AH7" s="2408"/>
      <c r="AI7" s="2408"/>
      <c r="AJ7" s="2408"/>
      <c r="AK7" s="2408"/>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590</v>
      </c>
      <c r="C13" s="2398"/>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590</v>
      </c>
      <c r="C16" s="2398"/>
      <c r="D16" s="547"/>
      <c r="E16" s="2409" t="s">
        <v>1305</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590</v>
      </c>
      <c r="C22" s="2398"/>
      <c r="D22" s="547"/>
      <c r="E22" s="2434" t="s">
        <v>1308</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590</v>
      </c>
      <c r="C25" s="2398"/>
      <c r="D25" s="547"/>
      <c r="E25" s="2399" t="s">
        <v>2032</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590</v>
      </c>
      <c r="C28" s="2398"/>
      <c r="D28" s="547"/>
      <c r="E28" s="2422" t="s">
        <v>2248</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398" t="s">
        <v>590</v>
      </c>
      <c r="C33" s="2398"/>
      <c r="D33" s="547"/>
      <c r="E33" s="2434" t="s">
        <v>2250</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590</v>
      </c>
      <c r="C36" s="2398"/>
      <c r="D36" s="547"/>
      <c r="E36" s="2399" t="s">
        <v>2251</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590</v>
      </c>
      <c r="C40" s="2398"/>
      <c r="D40" s="547"/>
      <c r="E40" s="2399" t="s">
        <v>2249</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590</v>
      </c>
      <c r="C45" s="2398"/>
      <c r="D45" s="1142"/>
      <c r="E45" s="2399" t="s">
        <v>2007</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590</v>
      </c>
      <c r="C52" s="2398"/>
      <c r="D52" s="540"/>
      <c r="E52" s="2399" t="s">
        <v>2012</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590</v>
      </c>
      <c r="C56" s="2398"/>
      <c r="D56" s="540"/>
      <c r="E56" s="2419" t="s">
        <v>2013</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590</v>
      </c>
      <c r="C58" s="2398"/>
      <c r="D58" s="540"/>
      <c r="E58" s="2399" t="s">
        <v>2014</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1312</v>
      </c>
      <c r="AF65" s="2408"/>
      <c r="AG65" s="2408"/>
      <c r="AH65" s="2408"/>
      <c r="AI65" s="2408"/>
      <c r="AJ65" s="2408"/>
      <c r="AK65" s="2408"/>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590</v>
      </c>
      <c r="C68" s="2398"/>
      <c r="D68" s="547" t="s">
        <v>1313</v>
      </c>
      <c r="E68" s="2409" t="s">
        <v>2015</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1314</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544</v>
      </c>
      <c r="C74" s="2398"/>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544</v>
      </c>
      <c r="F75" s="2398"/>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590</v>
      </c>
      <c r="F76" s="2397"/>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590</v>
      </c>
      <c r="F77" s="2397"/>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590</v>
      </c>
      <c r="F79" s="2398"/>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590</v>
      </c>
      <c r="C81" s="2398"/>
      <c r="D81" s="547" t="s">
        <v>1318</v>
      </c>
      <c r="E81" s="2399" t="s">
        <v>1738</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1303</v>
      </c>
      <c r="AF87" s="2408"/>
      <c r="AG87" s="2408"/>
      <c r="AH87" s="2408"/>
      <c r="AI87" s="2408"/>
      <c r="AJ87" s="2408"/>
      <c r="AK87" s="2408"/>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590</v>
      </c>
      <c r="C90" s="2398"/>
      <c r="D90" s="547" t="s">
        <v>1313</v>
      </c>
      <c r="E90" s="2409" t="s">
        <v>1323</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0.59999999999999987</v>
      </c>
      <c r="F93" s="2393"/>
      <c r="G93" s="2393"/>
      <c r="H93" s="2393"/>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v>
      </c>
      <c r="F94" s="2395"/>
      <c r="G94" s="2395"/>
      <c r="H94" s="2395"/>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0</v>
      </c>
      <c r="F95" s="2426"/>
      <c r="G95" s="2426"/>
      <c r="H95" s="2426"/>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544</v>
      </c>
      <c r="C98" s="2398"/>
      <c r="D98" s="547" t="s">
        <v>1315</v>
      </c>
      <c r="E98" s="2409" t="s">
        <v>1723</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0.59999999999999987</v>
      </c>
      <c r="F103" s="2393"/>
      <c r="G103" s="2393"/>
      <c r="H103" s="2393"/>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0.10236220472440945</v>
      </c>
      <c r="F104" s="2393"/>
      <c r="G104" s="2393"/>
      <c r="H104" s="2393"/>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0.10236220472440945</v>
      </c>
      <c r="F105" s="2393"/>
      <c r="G105" s="2393"/>
      <c r="H105" s="2393"/>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1312</v>
      </c>
      <c r="AF112" s="2408"/>
      <c r="AG112" s="2408"/>
      <c r="AH112" s="2408"/>
      <c r="AI112" s="2408"/>
      <c r="AJ112" s="2408"/>
      <c r="AK112" s="2408"/>
      <c r="AL112" s="540"/>
      <c r="AM112" s="540"/>
      <c r="AN112" s="535"/>
      <c r="AO112" s="536" t="str">
        <f>Application!B718</f>
        <v>SRO/Studio</v>
      </c>
      <c r="AQ112" s="536">
        <f>Application!O718</f>
        <v>764</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809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398" t="s">
        <v>544</v>
      </c>
      <c r="C115" s="2398"/>
      <c r="D115" s="547" t="s">
        <v>1313</v>
      </c>
      <c r="E115" s="2409" t="s">
        <v>1856</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1661</v>
      </c>
      <c r="AU115" s="536" t="s">
        <v>1838</v>
      </c>
      <c r="AV115" s="595" t="s">
        <v>1839</v>
      </c>
      <c r="AW115" s="536" t="s">
        <v>1840</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1647</v>
      </c>
      <c r="AU116" s="856" t="str">
        <f>E124</f>
        <v>Studio/SRO</v>
      </c>
      <c r="AV116" s="536">
        <f t="array" ref="AV116">SUM(IF(Application!B718:F752="SRO/Studio",Application!G718:J752))</f>
        <v>6</v>
      </c>
      <c r="AW116" s="1011">
        <f>AV116/AV122</f>
        <v>4.7244094488188976E-2</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1987.6</v>
      </c>
      <c r="AU117" s="856" t="str">
        <f>J124</f>
        <v>1-bedroom</v>
      </c>
      <c r="AV117" s="536">
        <f t="array" ref="AV117">SUM(IF(Application!B718:F752="1 Bedroom",Application!G718:J752))</f>
        <v>18</v>
      </c>
      <c r="AW117" s="1011">
        <f>AV117/AV122</f>
        <v>0.14173228346456693</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2 Bedrooms</v>
      </c>
      <c r="AQ118" s="536">
        <f>Application!O724</f>
        <v>2329</v>
      </c>
      <c r="AU118" s="856" t="str">
        <f>O124</f>
        <v>2-bedroom</v>
      </c>
      <c r="AV118" s="536">
        <f t="array" ref="AV118">SUM(IF(Application!B718:F752="2 Bedrooms",Application!G718:J752))</f>
        <v>66</v>
      </c>
      <c r="AW118" s="1011">
        <f>AV118/AV122</f>
        <v>0.51968503937007871</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3 Bedrooms</v>
      </c>
      <c r="AQ119" s="536">
        <f>Application!O725</f>
        <v>1901</v>
      </c>
      <c r="AU119" s="856" t="str">
        <f>T124</f>
        <v>3-bedroom</v>
      </c>
      <c r="AV119" s="536">
        <f t="array" ref="AV119">SUM(IF(Application!B718:F752="3 Bedrooms",Application!G718:J752))</f>
        <v>37</v>
      </c>
      <c r="AW119" s="1011">
        <f>AV119/AV122</f>
        <v>0.29133858267716534</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2688.6</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127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1586</v>
      </c>
      <c r="F124" s="2393"/>
      <c r="G124" s="2393"/>
      <c r="H124" s="2393"/>
      <c r="I124" s="577"/>
      <c r="J124" s="2393" t="s">
        <v>1629</v>
      </c>
      <c r="K124" s="2393"/>
      <c r="L124" s="2393"/>
      <c r="M124" s="2393"/>
      <c r="N124" s="577"/>
      <c r="O124" s="2393" t="s">
        <v>1630</v>
      </c>
      <c r="P124" s="2393"/>
      <c r="Q124" s="2393"/>
      <c r="R124" s="2393"/>
      <c r="S124" s="577"/>
      <c r="T124" s="2393" t="s">
        <v>1332</v>
      </c>
      <c r="U124" s="2393"/>
      <c r="V124" s="2393"/>
      <c r="W124" s="2393"/>
      <c r="X124" s="577"/>
      <c r="Y124" s="2393" t="s">
        <v>1631</v>
      </c>
      <c r="Z124" s="2393"/>
      <c r="AA124" s="2393"/>
      <c r="AB124" s="2393"/>
      <c r="AC124" s="577"/>
      <c r="AD124" s="2393" t="s">
        <v>1632</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2770</v>
      </c>
      <c r="K127" s="2453"/>
      <c r="L127" s="2453"/>
      <c r="M127" s="2453"/>
      <c r="N127" s="864"/>
      <c r="O127" s="2453">
        <v>3462</v>
      </c>
      <c r="P127" s="2453"/>
      <c r="Q127" s="2453"/>
      <c r="R127" s="2453"/>
      <c r="S127" s="864"/>
      <c r="T127" s="2453">
        <v>4233</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764</v>
      </c>
      <c r="F130" s="2446"/>
      <c r="G130" s="2446"/>
      <c r="H130" s="2446"/>
      <c r="I130" s="864"/>
      <c r="J130" s="2446">
        <f>Application!EC670</f>
        <v>1298.1111111111111</v>
      </c>
      <c r="K130" s="2446"/>
      <c r="L130" s="2446"/>
      <c r="M130" s="2446"/>
      <c r="N130" s="864"/>
      <c r="O130" s="2446">
        <f>Application!EH670</f>
        <v>2049.757575757576</v>
      </c>
      <c r="P130" s="2446"/>
      <c r="Q130" s="2446"/>
      <c r="R130" s="2446"/>
      <c r="S130" s="868"/>
      <c r="T130" s="2446">
        <f>Application!EM670</f>
        <v>2603.4540540540538</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0.53136782992378662</v>
      </c>
      <c r="K133" s="2395"/>
      <c r="L133" s="2395"/>
      <c r="M133" s="2645"/>
      <c r="N133" s="577"/>
      <c r="O133" s="2644">
        <f>(O127-O130)/O127</f>
        <v>0.40792675454720512</v>
      </c>
      <c r="P133" s="2395"/>
      <c r="Q133" s="2395"/>
      <c r="R133" s="2645"/>
      <c r="S133" s="577"/>
      <c r="T133" s="2644">
        <f>(T127-T130)/T127</f>
        <v>0.38496242521756346</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6.1138747548253221E-2</v>
      </c>
      <c r="K136" s="2448"/>
      <c r="L136" s="2448"/>
      <c r="M136" s="2449"/>
      <c r="N136" s="577"/>
      <c r="O136" s="2447">
        <f>IF(((O133-0.1)*AW118)&gt;0,((O133-0.1)*AW118),0)</f>
        <v>0.16002492755996484</v>
      </c>
      <c r="P136" s="2448"/>
      <c r="Q136" s="2448"/>
      <c r="R136" s="2449"/>
      <c r="S136" s="577"/>
      <c r="T136" s="2447">
        <f>IF(((T133-0.1)*AW119)&gt;0,((T133-0.1)*AW119),0)</f>
        <v>8.3020549079132644E-2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0.3</v>
      </c>
      <c r="F138" s="2395"/>
      <c r="G138" s="2395"/>
      <c r="H138" s="2645"/>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08" t="s">
        <v>1312</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1336</v>
      </c>
      <c r="AG148" s="2443"/>
      <c r="AH148" s="2443"/>
      <c r="AI148" s="2443"/>
      <c r="AJ148" s="2443"/>
      <c r="AK148" s="2443"/>
      <c r="AL148" s="2443"/>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2713</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0" t="s">
        <v>1339</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1340</v>
      </c>
      <c r="AB155" s="2471" t="s">
        <v>590</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0" t="s">
        <v>1341</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2475</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2476</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2474</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590</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1350</v>
      </c>
      <c r="AG168" s="2443"/>
      <c r="AH168" s="2443"/>
      <c r="AI168" s="2443"/>
      <c r="AJ168" s="2443"/>
      <c r="AK168" s="2443"/>
      <c r="AL168" s="2443"/>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1348</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590</v>
      </c>
      <c r="AG172" s="2471"/>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0" t="s">
        <v>1341</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2" t="str">
        <f>Application!AA335</f>
        <v>Solari Enterprises,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1312</v>
      </c>
      <c r="AF186" s="2408"/>
      <c r="AG186" s="2408"/>
      <c r="AH186" s="2408"/>
      <c r="AI186" s="2408"/>
      <c r="AJ186" s="2408"/>
      <c r="AK186" s="2408"/>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68" t="s">
        <v>1039</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1361</v>
      </c>
      <c r="AG188" s="2443"/>
      <c r="AH188" s="2443"/>
      <c r="AI188" s="2443"/>
      <c r="AJ188" s="2443"/>
      <c r="AK188" s="2443"/>
      <c r="AL188" s="2443"/>
      <c r="AN188" s="597"/>
      <c r="AP188" s="550" t="s">
        <v>1041</v>
      </c>
      <c r="AQ188" s="550">
        <v>10</v>
      </c>
    </row>
    <row r="189" spans="1:73" s="550" customFormat="1" ht="12.75" customHeight="1">
      <c r="A189" s="536"/>
      <c r="B189" s="2469" t="s">
        <v>1724</v>
      </c>
      <c r="C189" s="2469"/>
      <c r="D189" s="2469"/>
      <c r="E189" s="2469"/>
      <c r="F189" s="2469"/>
      <c r="G189" s="2469"/>
      <c r="H189" s="2469"/>
      <c r="I189" s="2469"/>
      <c r="J189" s="2469"/>
      <c r="K189" s="2469"/>
      <c r="L189" s="2469"/>
      <c r="M189" s="2469"/>
      <c r="N189" s="2469"/>
      <c r="O189" s="2469"/>
      <c r="P189" s="2469"/>
      <c r="Q189" s="2469"/>
      <c r="R189" s="2469"/>
      <c r="S189" s="2469"/>
      <c r="T189" s="2444" t="s">
        <v>590</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78">
        <f>IF(AK84&gt;0,VLOOKUP($B$188,AP185:AQ191,2,FALSE),0)</f>
        <v>10</v>
      </c>
      <c r="AL191" s="2479"/>
      <c r="AM191" s="2480"/>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1370</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2714</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Application!AM556</f>
        <v>4400000</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1625</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1588</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0">
        <f>SUM(AD199:AJ209)-AD210</f>
        <v>4400000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1605</v>
      </c>
      <c r="J222" s="2459"/>
      <c r="K222" s="2459"/>
      <c r="L222" s="536"/>
      <c r="M222" s="536"/>
      <c r="N222" s="536"/>
      <c r="O222" s="536"/>
      <c r="P222" s="536"/>
      <c r="Q222" s="536"/>
      <c r="R222" s="536"/>
      <c r="S222" s="536"/>
      <c r="T222" s="2647" t="s">
        <v>1599</v>
      </c>
      <c r="U222" s="2647"/>
      <c r="V222" s="2647"/>
      <c r="W222" s="2647"/>
      <c r="X222" s="2647"/>
      <c r="Y222" s="2647"/>
      <c r="Z222" s="849"/>
      <c r="AA222" s="489"/>
      <c r="AB222" s="2454" t="s">
        <v>1600</v>
      </c>
      <c r="AC222" s="2454"/>
      <c r="AD222" s="2454"/>
      <c r="AE222" s="2454"/>
      <c r="AF222" s="2454"/>
      <c r="AG222" s="2454"/>
      <c r="AH222" s="827"/>
      <c r="AI222" s="827"/>
      <c r="AJ222" s="827"/>
      <c r="AK222" s="610"/>
    </row>
    <row r="223" spans="1:37">
      <c r="A223" s="605"/>
      <c r="B223" s="2457" t="s">
        <v>1585</v>
      </c>
      <c r="C223" s="2457"/>
      <c r="D223" s="2457"/>
      <c r="E223" s="2457"/>
      <c r="F223" s="2457"/>
      <c r="G223" s="2457"/>
      <c r="I223" s="2458" t="s">
        <v>1606</v>
      </c>
      <c r="J223" s="2458"/>
      <c r="K223" s="2458"/>
      <c r="L223" s="1008"/>
      <c r="N223" s="2464" t="s">
        <v>1601</v>
      </c>
      <c r="O223" s="2464"/>
      <c r="P223" s="2464"/>
      <c r="Q223" s="2464"/>
      <c r="R223" s="2464"/>
      <c r="T223" s="2464" t="s">
        <v>1602</v>
      </c>
      <c r="U223" s="2464"/>
      <c r="V223" s="2464"/>
      <c r="W223" s="2464"/>
      <c r="X223" s="2464"/>
      <c r="Y223" s="2464"/>
      <c r="Z223" s="850"/>
      <c r="AA223" s="489"/>
      <c r="AB223" s="2601" t="s">
        <v>1603</v>
      </c>
      <c r="AC223" s="2601"/>
      <c r="AD223" s="2601"/>
      <c r="AE223" s="2601"/>
      <c r="AF223" s="2601"/>
      <c r="AG223" s="2601"/>
      <c r="AH223" s="827"/>
      <c r="AI223" s="827"/>
      <c r="AJ223" s="827"/>
      <c r="AK223" s="610"/>
    </row>
    <row r="224" spans="1:37">
      <c r="A224" s="605"/>
      <c r="B224" s="2461" t="s">
        <v>1182</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1182</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1182</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1182</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1182</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1182</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1182</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1182</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1182</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1182</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4400000</v>
      </c>
      <c r="AH268" s="2481"/>
      <c r="AI268" s="2481"/>
      <c r="AJ268" s="2481"/>
      <c r="AK268" s="2481"/>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58945214</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0.14000000000000001</v>
      </c>
      <c r="AH270" s="2482"/>
      <c r="AI270" s="2482"/>
      <c r="AJ270" s="2482"/>
      <c r="AK270" s="2482"/>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544</v>
      </c>
      <c r="D278" s="2475"/>
      <c r="E278" s="547"/>
      <c r="F278" s="2632" t="s">
        <v>2023</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1361</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1852</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50" t="s">
        <v>1380</v>
      </c>
      <c r="B292" s="1650"/>
      <c r="C292" s="2471" t="s">
        <v>544</v>
      </c>
      <c r="D292" s="2475"/>
      <c r="E292" s="547"/>
      <c r="F292" s="2503" t="s">
        <v>1381</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2016</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7" t="s">
        <v>2024</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1382</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1383</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50" t="s">
        <v>1384</v>
      </c>
      <c r="B302" s="1650"/>
      <c r="C302" s="2475" t="s">
        <v>590</v>
      </c>
      <c r="D302" s="2475"/>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5" t="s">
        <v>2018</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50" t="s">
        <v>1387</v>
      </c>
      <c r="B310" s="1650"/>
      <c r="C310" s="2475" t="s">
        <v>590</v>
      </c>
      <c r="D310" s="2475"/>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7" t="s">
        <v>2025</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1182</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1182</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13" t="s">
        <v>1182</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3" t="s">
        <v>1182</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50" t="s">
        <v>1390</v>
      </c>
      <c r="B333" s="1650"/>
      <c r="C333" s="2475" t="s">
        <v>590</v>
      </c>
      <c r="D333" s="2475"/>
      <c r="E333" s="547"/>
      <c r="F333" s="2399" t="s">
        <v>2026</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78">
        <f>IF(NOT(OR(Application!M355="Yes",Application!M356="Yes")),0,AP295)</f>
        <v>10</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08" t="s">
        <v>1312</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1452</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2091</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2206</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1453</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1454</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1455</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580</v>
      </c>
      <c r="AP361" s="696">
        <f>IF(C407="Yes",5,0)</f>
        <v>0</v>
      </c>
      <c r="AS361" s="539" t="s">
        <v>1877</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762</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583</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7" t="s">
        <v>1456</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455</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460</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645</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5">
        <f>Application!DU802-U374</f>
        <v>267</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0">
        <f>IF(AP375&gt;0,AP375,0)</f>
        <v>0</v>
      </c>
      <c r="AR375" s="2540"/>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1" t="s">
        <v>1458</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590</v>
      </c>
      <c r="D381" s="2475"/>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1460</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1" t="s">
        <v>1461</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590</v>
      </c>
      <c r="D389" s="2475"/>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1460</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1" t="s">
        <v>1463</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544</v>
      </c>
      <c r="D397" s="2475"/>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1465</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590</v>
      </c>
      <c r="D399" s="2475"/>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1460</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1" t="s">
        <v>1469</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590</v>
      </c>
      <c r="D407" s="2475"/>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1460</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544</v>
      </c>
      <c r="D409" s="2475"/>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1472</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590</v>
      </c>
      <c r="D412" s="2475"/>
      <c r="E412" s="715" t="s">
        <v>1473</v>
      </c>
      <c r="F412" s="2521" t="s">
        <v>1474</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1460</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1" t="s">
        <v>1476</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590</v>
      </c>
      <c r="D421" s="2475"/>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1460</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590</v>
      </c>
      <c r="D423" s="2475"/>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1472</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1" t="s">
        <v>1480</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590</v>
      </c>
      <c r="D430" s="2475"/>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1460</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521" t="s">
        <v>1483</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590</v>
      </c>
      <c r="D442" s="2475"/>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1460</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1" t="s">
        <v>1486</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590</v>
      </c>
      <c r="D449" s="2475"/>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1460</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590</v>
      </c>
      <c r="D453" s="2525"/>
      <c r="E453" s="715" t="s">
        <v>1495</v>
      </c>
      <c r="F453" s="2521" t="s">
        <v>1496</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1460</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590</v>
      </c>
      <c r="D457" s="2475"/>
      <c r="E457" s="715" t="s">
        <v>1501</v>
      </c>
      <c r="F457" s="2521" t="s">
        <v>1502</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1460</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1" t="s">
        <v>1505</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590</v>
      </c>
      <c r="D466" s="2475"/>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1460</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19" t="s">
        <v>1509</v>
      </c>
      <c r="AF472" s="2519"/>
      <c r="AG472" s="2519"/>
      <c r="AH472" s="2519"/>
      <c r="AI472" s="2519"/>
      <c r="AJ472" s="2519"/>
      <c r="AK472" s="2519"/>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4" t="s">
        <v>590</v>
      </c>
      <c r="D478" s="2545"/>
      <c r="E478" s="761" t="s">
        <v>506</v>
      </c>
      <c r="F478" s="2546" t="s">
        <v>1515</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0" t="s">
        <v>590</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1" t="s">
        <v>544</v>
      </c>
      <c r="D482" s="2622"/>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19" t="s">
        <v>590</v>
      </c>
      <c r="W485" s="2619"/>
      <c r="X485" s="2619"/>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19" t="s">
        <v>590</v>
      </c>
      <c r="W487" s="2619"/>
      <c r="X487" s="2619"/>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19" t="s">
        <v>590</v>
      </c>
      <c r="W492" s="2619"/>
      <c r="X492" s="2619"/>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09"/>
      <c r="E495" s="2609"/>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19" t="s">
        <v>590</v>
      </c>
      <c r="W496" s="2619"/>
      <c r="X496" s="2619"/>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19" t="s">
        <v>590</v>
      </c>
      <c r="W498" s="2619"/>
      <c r="X498" s="2619"/>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590</v>
      </c>
      <c r="D501" s="2545"/>
      <c r="E501" s="761" t="s">
        <v>506</v>
      </c>
      <c r="F501" s="2546" t="s">
        <v>1515</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590</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590</v>
      </c>
      <c r="D505" s="2545"/>
      <c r="E505" s="761" t="s">
        <v>756</v>
      </c>
      <c r="F505" s="2616" t="s">
        <v>1537</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590</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590</v>
      </c>
      <c r="D510" s="2545"/>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590</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590</v>
      </c>
      <c r="D515" s="2549"/>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590</v>
      </c>
      <c r="D519" s="2549"/>
      <c r="F519" s="795" t="s">
        <v>1545</v>
      </c>
      <c r="G519" s="2522" t="s">
        <v>1546</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590</v>
      </c>
      <c r="D523" s="2551"/>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590</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1558</v>
      </c>
      <c r="AF538" s="2408"/>
      <c r="AG538" s="2408"/>
      <c r="AH538" s="2408"/>
      <c r="AI538" s="2408"/>
      <c r="AJ538" s="2408"/>
      <c r="AK538" s="2408"/>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590</v>
      </c>
      <c r="D541" s="2475"/>
      <c r="E541" s="551"/>
      <c r="F541" s="2602" t="s">
        <v>1559</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544</v>
      </c>
      <c r="D544" s="2475"/>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1561</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1562</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81333240</v>
      </c>
      <c r="AQ550" s="2624"/>
      <c r="AR550" s="2624"/>
      <c r="AS550" s="550" t="s">
        <v>2168</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54746591</v>
      </c>
      <c r="AG551" s="2481"/>
      <c r="AH551" s="2481"/>
      <c r="AI551" s="2481"/>
      <c r="AJ551" s="2481"/>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130133184</v>
      </c>
      <c r="AG552" s="2629"/>
      <c r="AH552" s="2629"/>
      <c r="AI552" s="2629"/>
      <c r="AJ552" s="2629"/>
      <c r="AK552" s="595"/>
      <c r="AL552" s="595"/>
      <c r="AM552" s="595"/>
      <c r="AN552" s="597"/>
      <c r="AP552" s="2624">
        <f>Application!AJ1045</f>
        <v>8133324</v>
      </c>
      <c r="AQ552" s="2624"/>
      <c r="AR552" s="2624"/>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1.1499999999999999</v>
      </c>
      <c r="AG553" s="2630"/>
      <c r="AH553" s="2630"/>
      <c r="AI553" s="2630"/>
      <c r="AJ553" s="2630"/>
      <c r="AK553" s="595"/>
      <c r="AL553" s="595"/>
      <c r="AM553" s="595"/>
      <c r="AN553" s="597"/>
      <c r="AP553" s="2627">
        <f>Application!AJ1049</f>
        <v>16266648</v>
      </c>
      <c r="AQ553" s="2627"/>
      <c r="AR553" s="2627"/>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v>
      </c>
      <c r="AQ554" s="2623"/>
      <c r="AR554" s="2623"/>
      <c r="AS554" s="550" t="s">
        <v>2170</v>
      </c>
    </row>
    <row r="555" spans="1:49" s="550" customFormat="1" ht="12.75" customHeight="1">
      <c r="A555" s="624"/>
      <c r="B555" s="2560" t="s">
        <v>2030</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105733212</v>
      </c>
      <c r="AQ556" s="2533"/>
      <c r="AR556" s="2533"/>
      <c r="AS556" s="550" t="s">
        <v>2172</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130133184</v>
      </c>
      <c r="AQ557" s="2624"/>
      <c r="AR557" s="2624"/>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69">
        <f>IFERROR(IF(AND(C541="N/A",C544="N/A"),0,IF(AF553=0,0,IF((AF553*100)&gt;12,12,(AF553*100)))),0)</f>
        <v>12</v>
      </c>
      <c r="AL559" s="2569"/>
      <c r="AM559" s="2570"/>
      <c r="AN559" s="597"/>
      <c r="AP559" s="2641">
        <f>AP556+(AP550*AP554)</f>
        <v>130133184</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1312</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2021</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1336</v>
      </c>
      <c r="AG578" s="2443"/>
      <c r="AH578" s="2443"/>
      <c r="AI578" s="2443"/>
      <c r="AJ578" s="2443"/>
      <c r="AK578" s="2443"/>
      <c r="AL578" s="2443"/>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1394</v>
      </c>
      <c r="AG585" s="2443"/>
      <c r="AH585" s="2443"/>
      <c r="AI585" s="2443"/>
      <c r="AJ585" s="2443"/>
      <c r="AK585" s="2443"/>
      <c r="AL585" s="2443"/>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1376</v>
      </c>
      <c r="AG591" s="2443"/>
      <c r="AH591" s="2443"/>
      <c r="AI591" s="2443"/>
      <c r="AJ591" s="2443"/>
      <c r="AK591" s="2443"/>
      <c r="AL591" s="2443"/>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1397</v>
      </c>
      <c r="AG597" s="2443"/>
      <c r="AH597" s="2443"/>
      <c r="AI597" s="2443"/>
      <c r="AJ597" s="2443"/>
      <c r="AK597" s="2443"/>
      <c r="AL597" s="2443"/>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9" t="s">
        <v>1182</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1350</v>
      </c>
      <c r="AG603" s="2443"/>
      <c r="AH603" s="2443"/>
      <c r="AI603" s="2443"/>
      <c r="AJ603" s="2443"/>
      <c r="AK603" s="2443"/>
      <c r="AL603" s="2443"/>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7" t="s">
        <v>686</v>
      </c>
      <c r="I606" s="2527"/>
      <c r="J606" s="936"/>
      <c r="K606" s="936"/>
      <c r="L606" s="936"/>
      <c r="N606" s="22"/>
      <c r="O606" s="22"/>
      <c r="P606" s="22"/>
      <c r="Q606" s="1151" t="s">
        <v>2175</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28" t="s">
        <v>590</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1" t="s">
        <v>590</v>
      </c>
      <c r="C616" s="2471"/>
      <c r="D616" s="642"/>
      <c r="E616" s="2498" t="s">
        <v>1401</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6" t="s">
        <v>1692</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1350</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1" t="s">
        <v>590</v>
      </c>
      <c r="Y634" s="2471"/>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1406</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7" t="s">
        <v>686</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78">
        <f>VLOOKUP($H$638,$AO$605:$AP$607,2,FALSE)</f>
        <v>3</v>
      </c>
      <c r="AK640" s="2480"/>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8" t="s">
        <v>2096</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1350</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1406</v>
      </c>
      <c r="AG647" s="2443"/>
      <c r="AH647" s="2443"/>
      <c r="AI647" s="2443"/>
      <c r="AJ647" s="2443"/>
      <c r="AK647" s="2443"/>
      <c r="AL647" s="2443"/>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7" t="s">
        <v>590</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8" t="s">
        <v>1416</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1376</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8" t="s">
        <v>1417</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1397</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1418</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1350</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590</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98" t="s">
        <v>1419</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1397</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98" t="s">
        <v>1420</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1350</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98" t="s">
        <v>1421</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1406</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98" t="s">
        <v>1422</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1423</v>
      </c>
      <c r="AG681" s="2443"/>
      <c r="AH681" s="2443"/>
      <c r="AI681" s="2443"/>
      <c r="AJ681" s="2443"/>
      <c r="AK681" s="2443"/>
      <c r="AL681" s="2443"/>
      <c r="AM681" s="596"/>
      <c r="AN681" s="597"/>
      <c r="AO681" s="611" t="s">
        <v>686</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7" t="s">
        <v>508</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78">
        <f>VLOOKUP($H$685,$AO$633:$AP$640,2,FALSE)</f>
        <v>4</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127</v>
      </c>
    </row>
    <row r="691" spans="1:51" s="550" customFormat="1" ht="12.75" customHeight="1">
      <c r="A691" s="679"/>
      <c r="B691" s="536"/>
      <c r="C691" s="948"/>
      <c r="D691" s="663" t="s">
        <v>686</v>
      </c>
      <c r="E691" s="2534" t="s">
        <v>2188</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1350</v>
      </c>
      <c r="AG691" s="2443"/>
      <c r="AH691" s="2443"/>
      <c r="AI691" s="2443"/>
      <c r="AJ691" s="2443"/>
      <c r="AK691" s="2443"/>
      <c r="AL691" s="2443"/>
      <c r="AN691" s="597"/>
      <c r="AW691" s="22" t="s">
        <v>2183</v>
      </c>
      <c r="AX691" s="550">
        <f>Application!DE753</f>
        <v>37</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98" t="s">
        <v>2132</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1350</v>
      </c>
      <c r="AG694" s="2443"/>
      <c r="AH694" s="2443"/>
      <c r="AI694" s="2443"/>
      <c r="AJ694" s="2443"/>
      <c r="AK694" s="2443"/>
      <c r="AL694" s="2443"/>
      <c r="AN694" s="597"/>
      <c r="AW694" s="22" t="s">
        <v>2186</v>
      </c>
      <c r="AX694" s="550">
        <f>AX691+AX692+AX693</f>
        <v>37</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2187</v>
      </c>
      <c r="AX695" s="550">
        <f>IFERROR(AX694/AX690,0)</f>
        <v>0.29133858267716534</v>
      </c>
      <c r="AY695" s="550">
        <f>IFERROR(AX694/(AX690-AX689),0)</f>
        <v>0.29133858267716534</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98" t="s">
        <v>2133</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1406</v>
      </c>
      <c r="AG699" s="2443"/>
      <c r="AH699" s="2443"/>
      <c r="AI699" s="2443"/>
      <c r="AJ699" s="2443"/>
      <c r="AK699" s="2443"/>
      <c r="AL699" s="2443"/>
      <c r="AN699" s="597"/>
      <c r="AO699" s="611" t="s">
        <v>508</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8" t="s">
        <v>1691</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7" t="s">
        <v>686</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8">
        <f>VLOOKUP($H$709,$AO$703:$AP$706,2,FALSE)</f>
        <v>3</v>
      </c>
      <c r="AK711" s="2480"/>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5" t="s">
        <v>1693</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1350</v>
      </c>
      <c r="AG715" s="2443"/>
      <c r="AH715" s="2443"/>
      <c r="AI715" s="2443"/>
      <c r="AJ715" s="2443"/>
      <c r="AK715" s="2443"/>
      <c r="AL715" s="2443"/>
      <c r="AM715" s="550"/>
      <c r="AN715" s="684"/>
      <c r="AP715" s="570" t="s">
        <v>1430</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508</v>
      </c>
      <c r="E719" s="2536" t="s">
        <v>1433</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1406</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1398</v>
      </c>
      <c r="E723" s="936"/>
      <c r="F723" s="936"/>
      <c r="G723" s="936"/>
      <c r="H723" s="2527" t="s">
        <v>590</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98" t="s">
        <v>1694</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1350</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8" t="s">
        <v>1437</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1406</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7" t="s">
        <v>590</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98" t="s">
        <v>1440</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1350</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8" t="s">
        <v>1441</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1406</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7" t="s">
        <v>508</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78">
        <f>VLOOKUP($H$751,$AO$680:$AP$682,2,FALSE)</f>
        <v>2</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98" t="s">
        <v>1443</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1406</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8" t="s">
        <v>1444</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1423</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7" t="s">
        <v>508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78">
        <f>VLOOKUP($H$763,$AO$697:$AP$699,2,FALSE)</f>
        <v>1</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98" t="s">
        <v>1690</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1406</v>
      </c>
      <c r="AG769" s="2443"/>
      <c r="AH769" s="2443"/>
      <c r="AI769" s="2443"/>
      <c r="AJ769" s="2443"/>
      <c r="AK769" s="2443"/>
      <c r="AL769" s="2443"/>
      <c r="AM769" s="613"/>
      <c r="AN769" s="684"/>
      <c r="AO769" s="550" t="s">
        <v>590</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7" t="s">
        <v>1695</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1350</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7" t="s">
        <v>590</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98" t="s">
        <v>2031</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1350</v>
      </c>
      <c r="AG785" s="2443"/>
      <c r="AH785" s="2443"/>
      <c r="AI785" s="2443"/>
      <c r="AJ785" s="2443"/>
      <c r="AK785" s="2443"/>
      <c r="AL785" s="2443"/>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7" t="s">
        <v>544</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78">
        <f>VLOOKUP($H$790,$AO$784:$AP$785,2,FALSE)</f>
        <v>3</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1566</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1567</v>
      </c>
      <c r="U802" s="2575"/>
      <c r="V802" s="2575"/>
      <c r="W802" s="2575"/>
      <c r="X802" s="2575"/>
      <c r="Y802" s="2576"/>
      <c r="Z802" s="2574" t="s">
        <v>1568</v>
      </c>
      <c r="AA802" s="2575"/>
      <c r="AB802" s="2575"/>
      <c r="AC802" s="2575"/>
      <c r="AD802" s="2575"/>
      <c r="AE802" s="2576"/>
      <c r="AF802" s="2574" t="s">
        <v>1569</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756</v>
      </c>
      <c r="B804" s="2554" t="s">
        <v>1302</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1539</v>
      </c>
      <c r="B805" s="2554" t="s">
        <v>1311</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1548</v>
      </c>
      <c r="B806" s="2554" t="s">
        <v>1321</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1570</v>
      </c>
      <c r="B807" s="2554" t="s">
        <v>1331</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1571</v>
      </c>
      <c r="B808" s="2554" t="s">
        <v>1572</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1573</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1574</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1359</v>
      </c>
      <c r="B811" s="2554" t="s">
        <v>1575</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1368</v>
      </c>
      <c r="B812" s="2554" t="s">
        <v>1369</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588</v>
      </c>
      <c r="B813" s="2554" t="s">
        <v>1576</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4" t="s">
        <v>1577</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4" t="s">
        <v>1379</v>
      </c>
      <c r="C815" s="2554"/>
      <c r="D815" s="2554"/>
      <c r="E815" s="2554"/>
      <c r="F815" s="2554"/>
      <c r="G815" s="2554"/>
      <c r="H815" s="2554"/>
      <c r="I815" s="2554"/>
      <c r="J815" s="2554"/>
      <c r="K815" s="2554"/>
      <c r="L815" s="2554"/>
      <c r="M815" s="2554"/>
      <c r="N815" s="2554"/>
      <c r="O815" s="2554"/>
      <c r="P815" s="2554"/>
      <c r="Q815" s="2554"/>
      <c r="R815" s="2554"/>
      <c r="S815" s="2555"/>
      <c r="T815" s="2580">
        <f>AK338</f>
        <v>10</v>
      </c>
      <c r="U815" s="2580"/>
      <c r="V815" s="2580"/>
      <c r="W815" s="2580"/>
      <c r="X815" s="2580"/>
      <c r="Y815" s="2580"/>
      <c r="Z815" s="2586">
        <v>10</v>
      </c>
      <c r="AA815" s="2587"/>
      <c r="AB815" s="2587"/>
      <c r="AC815" s="2587"/>
      <c r="AD815" s="2587"/>
      <c r="AE815" s="2588"/>
      <c r="AF815" s="2586">
        <f>IF(T815&gt;Z815,Z815,T815)</f>
        <v>10</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3">
        <f>AK338</f>
        <v>10</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4" t="s">
        <v>844</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4" t="s">
        <v>1557</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4" t="s">
        <v>1579</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1580</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1581</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1582</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120</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2025-05-16T18:00:38Z</cp:lastPrinted>
  <dcterms:created xsi:type="dcterms:W3CDTF">2007-12-27T18:26:28Z</dcterms:created>
  <dcterms:modified xsi:type="dcterms:W3CDTF">2025-06-05T17:40:45Z</dcterms:modified>
</cp:coreProperties>
</file>