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79C96E6F-9B39-4C66-BE07-B0C6C54AE79C}" xr6:coauthVersionLast="47" xr6:coauthVersionMax="47" xr10:uidLastSave="{00000000-0000-0000-0000-000000000000}"/>
  <bookViews>
    <workbookView xWindow="-120" yWindow="-120" windowWidth="25440" windowHeight="1539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S45" i="4"/>
  <c r="F99" i="4" l="1"/>
  <c r="E99" i="4" s="1"/>
  <c r="C79" i="4"/>
  <c r="AO628" i="3" l="1"/>
  <c r="E31" i="4"/>
  <c r="F31" i="4" s="1"/>
  <c r="E36" i="4"/>
  <c r="F35" i="4"/>
  <c r="F46" i="4"/>
  <c r="C45" i="4"/>
  <c r="AC889" i="3"/>
  <c r="F91" i="4" l="1"/>
  <c r="T627" i="3"/>
  <c r="Q627" i="3"/>
  <c r="P418" i="3" l="1"/>
  <c r="F92" i="4"/>
  <c r="F86" i="4"/>
  <c r="F84" i="4"/>
  <c r="F80" i="4"/>
  <c r="F79" i="4"/>
  <c r="F75" i="4"/>
  <c r="F69" i="4"/>
  <c r="F68" i="4"/>
  <c r="F66" i="4"/>
  <c r="F65" i="4"/>
  <c r="F56" i="4"/>
  <c r="F52" i="4"/>
  <c r="F50" i="4"/>
  <c r="F49" i="4"/>
  <c r="F43" i="4"/>
  <c r="F41" i="4"/>
  <c r="F40" i="4"/>
  <c r="F33" i="4"/>
  <c r="F32" i="4"/>
  <c r="F13" i="4"/>
  <c r="F4" i="4"/>
  <c r="E29" i="4"/>
  <c r="C30" i="4"/>
  <c r="E30" i="4" s="1"/>
  <c r="F45"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T51" i="21"/>
  <c r="S45" i="21"/>
  <c r="R53" i="21" a="1"/>
  <c r="R53" i="21" s="1"/>
  <c r="S52" i="21"/>
  <c r="P52" i="21" a="1"/>
  <c r="P52" i="21" s="1"/>
  <c r="P49" i="21" a="1"/>
  <c r="P49" i="21" s="1"/>
  <c r="O49" i="21"/>
  <c r="U53" i="21"/>
  <c r="T49" i="21"/>
  <c r="T53" i="21"/>
  <c r="U50" i="21"/>
  <c r="S49" i="21"/>
  <c r="S47" i="21"/>
  <c r="S46" i="21"/>
  <c r="U51" i="21"/>
  <c r="O50" i="21"/>
  <c r="R49" i="21" a="1"/>
  <c r="R49" i="21" s="1"/>
  <c r="U48" i="21"/>
  <c r="R47" i="21" a="1"/>
  <c r="R47" i="21" s="1"/>
  <c r="U47" i="21"/>
  <c r="T46" i="21"/>
  <c r="S51" i="21"/>
  <c r="T48" i="21"/>
  <c r="R51" i="21" a="1"/>
  <c r="R51" i="21" s="1"/>
  <c r="S48" i="21"/>
  <c r="P51" i="21" a="1"/>
  <c r="P51" i="21" s="1"/>
  <c r="S50" i="21"/>
  <c r="R48" i="21" a="1"/>
  <c r="R48" i="21" s="1"/>
  <c r="T47" i="21"/>
  <c r="U46" i="21"/>
  <c r="U45" i="21"/>
  <c r="P50" i="21" a="1"/>
  <c r="P50" i="21" s="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F67" i="13" s="1"/>
  <c r="E68" i="13"/>
  <c r="E69" i="13"/>
  <c r="F69" i="13" s="1"/>
  <c r="B66" i="13"/>
  <c r="C66" i="13" s="1"/>
  <c r="B67" i="13"/>
  <c r="C67" i="13" s="1"/>
  <c r="B68" i="13"/>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E90" i="13"/>
  <c r="E89" i="13"/>
  <c r="F89" i="13" s="1"/>
  <c r="E87" i="13"/>
  <c r="E84" i="13"/>
  <c r="F84" i="13" s="1"/>
  <c r="E65" i="13"/>
  <c r="F65" i="13" s="1"/>
  <c r="E53" i="13"/>
  <c r="E51" i="13"/>
  <c r="E50" i="13"/>
  <c r="F50" i="13" s="1"/>
  <c r="E48" i="13"/>
  <c r="E47" i="13"/>
  <c r="E45" i="13"/>
  <c r="F45" i="13" s="1"/>
  <c r="E41" i="13"/>
  <c r="F41" i="13" s="1"/>
  <c r="E37" i="13"/>
  <c r="E34" i="13"/>
  <c r="E33" i="13"/>
  <c r="F33" i="13" s="1"/>
  <c r="E31" i="13"/>
  <c r="F31" i="13" s="1"/>
  <c r="E29" i="13"/>
  <c r="F29" i="13" s="1"/>
  <c r="E27" i="13"/>
  <c r="E25" i="13"/>
  <c r="E23" i="13"/>
  <c r="E22" i="13"/>
  <c r="E21" i="13"/>
  <c r="E20" i="13"/>
  <c r="E19" i="13"/>
  <c r="E18" i="13"/>
  <c r="E17" i="13"/>
  <c r="E15" i="13"/>
  <c r="E14" i="13"/>
  <c r="E13" i="13"/>
  <c r="E10" i="13"/>
  <c r="B99" i="13"/>
  <c r="C99" i="13" s="1"/>
  <c r="C104" i="13" s="1"/>
  <c r="B95" i="13"/>
  <c r="B94" i="13"/>
  <c r="B93" i="13"/>
  <c r="B92" i="13"/>
  <c r="C92" i="13" s="1"/>
  <c r="B91" i="13"/>
  <c r="C91" i="13" s="1"/>
  <c r="B90" i="13"/>
  <c r="B89" i="13"/>
  <c r="C89" i="13" s="1"/>
  <c r="B88" i="13"/>
  <c r="B87" i="13"/>
  <c r="B86" i="13"/>
  <c r="C86" i="13" s="1"/>
  <c r="B85" i="13"/>
  <c r="C85" i="13" s="1"/>
  <c r="B84" i="13"/>
  <c r="C84" i="13" s="1"/>
  <c r="B83" i="13"/>
  <c r="B79" i="13"/>
  <c r="C79" i="13" s="1"/>
  <c r="B76" i="13"/>
  <c r="B75" i="13"/>
  <c r="C75" i="13" s="1"/>
  <c r="C77" i="13" s="1"/>
  <c r="B74" i="13"/>
  <c r="B73" i="13"/>
  <c r="B72" i="13"/>
  <c r="B65" i="13"/>
  <c r="C65" i="13" s="1"/>
  <c r="B61" i="13"/>
  <c r="B60" i="13"/>
  <c r="B59" i="13"/>
  <c r="B58" i="13"/>
  <c r="B57" i="13"/>
  <c r="B56" i="13"/>
  <c r="C56" i="13" s="1"/>
  <c r="C62" i="13" s="1"/>
  <c r="B53" i="13"/>
  <c r="B52" i="13"/>
  <c r="C52" i="13" s="1"/>
  <c r="B51" i="13"/>
  <c r="B50" i="13"/>
  <c r="C50" i="13" s="1"/>
  <c r="B49" i="13"/>
  <c r="C49" i="13" s="1"/>
  <c r="B48" i="13"/>
  <c r="B47" i="13"/>
  <c r="B46" i="13"/>
  <c r="C46" i="13" s="1"/>
  <c r="B45" i="13"/>
  <c r="C45" i="13" s="1"/>
  <c r="B43" i="13"/>
  <c r="C43" i="13" s="1"/>
  <c r="C42" i="4"/>
  <c r="B42" i="13" s="1"/>
  <c r="B41" i="13"/>
  <c r="C41" i="13" s="1"/>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S86" i="4" s="1"/>
  <c r="E86" i="13" s="1"/>
  <c r="F86" i="13" s="1"/>
  <c r="R85" i="4"/>
  <c r="E85" i="13" s="1"/>
  <c r="F85" i="13" s="1"/>
  <c r="R83" i="4"/>
  <c r="R76" i="4"/>
  <c r="R75" i="4"/>
  <c r="R72" i="4"/>
  <c r="R73" i="4"/>
  <c r="R74" i="4"/>
  <c r="R69" i="4"/>
  <c r="R65" i="4"/>
  <c r="R61" i="4"/>
  <c r="R60" i="4"/>
  <c r="R59" i="4"/>
  <c r="R58" i="4"/>
  <c r="R57" i="4"/>
  <c r="R56" i="4"/>
  <c r="R53" i="4"/>
  <c r="R52" i="4"/>
  <c r="S52" i="4" s="1"/>
  <c r="E52" i="13" s="1"/>
  <c r="F52" i="13" s="1"/>
  <c r="R51" i="4"/>
  <c r="R50" i="4"/>
  <c r="R49" i="4"/>
  <c r="S49" i="4" s="1"/>
  <c r="R47" i="4"/>
  <c r="R46" i="4"/>
  <c r="S46" i="4" s="1"/>
  <c r="R45" i="4"/>
  <c r="R43" i="4"/>
  <c r="S43" i="4" s="1"/>
  <c r="E43" i="13" s="1"/>
  <c r="F43" i="13" s="1"/>
  <c r="R41" i="4"/>
  <c r="R40" i="4"/>
  <c r="S40" i="4" s="1"/>
  <c r="S42" i="4" s="1"/>
  <c r="E42" i="13" s="1"/>
  <c r="R37" i="4"/>
  <c r="R35" i="4"/>
  <c r="S35" i="4" s="1"/>
  <c r="E35" i="13" s="1"/>
  <c r="F35" i="13" s="1"/>
  <c r="R34" i="4"/>
  <c r="R33" i="4"/>
  <c r="R32" i="4"/>
  <c r="S32" i="4" s="1"/>
  <c r="E32" i="13" s="1"/>
  <c r="F32" i="13" s="1"/>
  <c r="R31" i="4"/>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49" i="13" l="1"/>
  <c r="F49" i="13" s="1"/>
  <c r="S99" i="4"/>
  <c r="E99" i="13" s="1"/>
  <c r="F99" i="13" s="1"/>
  <c r="F104" i="13" s="1"/>
  <c r="S104" i="4"/>
  <c r="E104" i="13" s="1"/>
  <c r="F96" i="13"/>
  <c r="C70" i="13"/>
  <c r="C42" i="13"/>
  <c r="C81" i="13"/>
  <c r="C96" i="13"/>
  <c r="C38" i="13"/>
  <c r="S81" i="4"/>
  <c r="E81" i="13" s="1"/>
  <c r="S38" i="4"/>
  <c r="E38" i="13" s="1"/>
  <c r="C54" i="13"/>
  <c r="E30" i="13"/>
  <c r="F30" i="13" s="1"/>
  <c r="F38" i="13" s="1"/>
  <c r="S96" i="4"/>
  <c r="E96" i="13" s="1"/>
  <c r="F70" i="13"/>
  <c r="F81" i="13"/>
  <c r="E40" i="13"/>
  <c r="F40" i="13" s="1"/>
  <c r="F42" i="13" s="1"/>
  <c r="S54" i="4"/>
  <c r="E54" i="13" s="1"/>
  <c r="E46" i="13"/>
  <c r="F46" i="13" s="1"/>
  <c r="F54" i="13" s="1"/>
  <c r="D94" i="11"/>
  <c r="D35" i="1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48" i="4" l="1"/>
  <c r="R54" i="4" s="1"/>
  <c r="R63" i="4" s="1"/>
  <c r="R97" i="4" s="1"/>
  <c r="R105" i="4" s="1"/>
  <c r="O54" i="4"/>
  <c r="O63" i="4" s="1"/>
  <c r="O97" i="4" s="1"/>
  <c r="O105" i="4" s="1"/>
  <c r="C63" i="13"/>
  <c r="C97" i="13" s="1"/>
  <c r="C105" i="13" s="1"/>
  <c r="S63" i="4"/>
  <c r="S97" i="4" s="1"/>
  <c r="F63" i="13"/>
  <c r="F97" i="13" s="1"/>
  <c r="F105" i="13" s="1"/>
  <c r="F107" i="13" s="1"/>
  <c r="AJ621" i="20"/>
  <c r="G94" i="2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0" i="21" l="1"/>
  <c r="P20" i="21" s="1" a="1"/>
  <c r="P20" i="21" s="1"/>
  <c r="S20" i="21" s="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41" i="3" l="1"/>
  <c r="AJ1007" i="3"/>
  <c r="AJ1029" i="3"/>
  <c r="AJ1036" i="3"/>
  <c r="I15" i="21" s="1"/>
  <c r="AD11" i="15"/>
  <c r="AD23" i="15" s="1"/>
  <c r="AD26" i="15" s="1"/>
  <c r="AD28" i="15" s="1"/>
  <c r="AI11" i="15"/>
  <c r="AI23" i="15" s="1"/>
  <c r="AI26" i="15" s="1"/>
  <c r="AI28" i="15" s="1"/>
  <c r="BE44" i="3"/>
  <c r="F457" i="3"/>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<sst xmlns="http://schemas.openxmlformats.org/spreadsheetml/2006/main" count="5009" uniqueCount="2739">
  <si>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</si>
  <si>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</si>
  <si>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</si>
  <si>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</si>
  <si>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</si>
  <si>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</si>
  <si>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</si>
  <si>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</si>
  <si>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</si>
  <si>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</si>
  <si>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</si>
  <si>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</si>
  <si>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</si>
  <si>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</si>
  <si>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</si>
  <si>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</si>
  <si>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</si>
  <si>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</si>
  <si>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</si>
  <si>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</si>
  <si>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</si>
  <si>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</si>
  <si>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</si>
  <si>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</si>
  <si>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</si>
  <si>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</si>
  <si>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</si>
  <si>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</si>
  <si>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</si>
  <si>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</si>
  <si>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</si>
  <si>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</si>
  <si>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</si>
  <si>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</si>
  <si>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</si>
  <si>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</si>
  <si>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</si>
  <si>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</si>
  <si>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</si>
  <si>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</si>
  <si>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</si>
  <si>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</si>
  <si>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</si>
  <si>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</si>
  <si>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</si>
  <si>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</si>
  <si>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</si>
  <si>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</si>
  <si>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</si>
  <si>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</si>
  <si>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</si>
  <si>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</si>
  <si>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</si>
  <si>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</si>
  <si>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</si>
  <si>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</si>
  <si>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</si>
  <si>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</si>
  <si>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</si>
  <si>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</si>
  <si>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</si>
  <si>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</si>
  <si>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</si>
  <si>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</si>
  <si>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</si>
  <si>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</si>
  <si>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</si>
  <si>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</si>
  <si>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</si>
  <si>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</si>
  <si>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</si>
  <si>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</si>
  <si>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</si>
  <si>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</si>
  <si>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</si>
  <si>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</si>
  <si>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</si>
  <si>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</si>
  <si>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</si>
  <si>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</si>
  <si>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</si>
  <si>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</si>
  <si>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</si>
  <si>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</si>
  <si>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</si>
  <si>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</si>
  <si>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</si>
  <si>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</si>
  <si>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</si>
  <si>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</si>
  <si>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</si>
  <si>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</si>
  <si>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</si>
  <si>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</si>
  <si>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</si>
  <si>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</si>
  <si>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</si>
  <si>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</si>
  <si>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</si>
  <si>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</si>
  <si>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</si>
  <si>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</si>
  <si>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</si>
  <si>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</si>
  <si>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</si>
  <si>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</si>
  <si>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</si>
  <si>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</si>
  <si>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</si>
  <si>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</si>
  <si>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</si>
  <si>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</si>
  <si>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</si>
  <si>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</si>
  <si>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</si>
  <si>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</si>
  <si>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</si>
  <si>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</si>
  <si>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</si>
  <si>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</si>
  <si>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</si>
  <si>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</si>
  <si>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</si>
  <si>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</si>
  <si>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</si>
  <si>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</si>
  <si>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</si>
  <si>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</si>
  <si>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</si>
  <si>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</si>
  <si>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</si>
  <si>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</si>
  <si>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</si>
  <si>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</si>
  <si>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</si>
  <si>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</si>
  <si>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</si>
  <si>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</si>
  <si>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</si>
  <si>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</si>
  <si>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</si>
  <si>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</si>
  <si>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</si>
  <si>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</si>
  <si>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</si>
  <si>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</si>
  <si>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</si>
  <si>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</si>
  <si>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</si>
  <si>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</si>
  <si>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</si>
  <si>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</si>
  <si>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</si>
  <si>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</si>
  <si>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</si>
  <si>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</si>
  <si>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</si>
  <si>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</si>
  <si>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</si>
  <si>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</si>
  <si>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</si>
  <si>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</si>
  <si>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</si>
  <si>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</si>
  <si>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</si>
  <si>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</si>
  <si>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</si>
  <si>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</si>
  <si>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</si>
  <si>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</si>
  <si>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</si>
  <si>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</si>
  <si>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</si>
  <si>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</si>
  <si>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</si>
  <si>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</si>
  <si>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</si>
  <si>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</si>
  <si>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</si>
  <si>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</si>
  <si>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</si>
  <si>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</si>
  <si>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</si>
  <si>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</si>
  <si>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</si>
  <si>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</si>
  <si>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</si>
  <si>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</si>
  <si>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</si>
  <si>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</si>
  <si>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</si>
  <si>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</si>
  <si>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</si>
  <si>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</si>
  <si>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</si>
  <si>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</si>
  <si>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</si>
  <si>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</si>
  <si>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</si>
  <si>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</si>
  <si>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</si>
  <si>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</si>
  <si>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</si>
  <si>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</si>
  <si>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</si>
  <si>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</si>
  <si>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</si>
  <si>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</si>
  <si>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</si>
  <si>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</si>
  <si>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</si>
  <si>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</si>
  <si>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</si>
  <si>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</si>
  <si>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</si>
  <si>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</si>
  <si>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</si>
  <si>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</si>
  <si>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</si>
  <si>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</si>
  <si>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</si>
  <si>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</si>
  <si>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</si>
  <si>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</si>
  <si>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</si>
  <si>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</si>
  <si>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</si>
  <si>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</si>
  <si>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</si>
  <si>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</si>
  <si>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</si>
  <si>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</si>
  <si>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</si>
  <si>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</si>
  <si>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</si>
  <si>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</si>
  <si>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</si>
  <si>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</si>
  <si>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</si>
  <si>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</si>
  <si>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</si>
  <si>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</si>
  <si>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</si>
  <si>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</si>
  <si>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</si>
  <si>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</si>
  <si>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</si>
  <si>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</si>
  <si>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</si>
  <si>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</si>
  <si>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</si>
  <si>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</si>
  <si>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</si>
  <si>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</si>
  <si>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</si>
  <si>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</si>
  <si>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</si>
  <si>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</si>
  <si>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</si>
  <si>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</si>
  <si>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</si>
  <si>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</si>
  <si>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</si>
  <si>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</si>
  <si>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</si>
  <si>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</si>
  <si>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</si>
  <si>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</si>
  <si>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</si>
  <si>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</si>
  <si>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</si>
  <si>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</si>
  <si>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</si>
  <si>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</si>
  <si>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</si>
  <si>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</si>
  <si>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</si>
  <si>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</si>
  <si>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</si>
  <si>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</si>
  <si>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</si>
  <si>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</si>
  <si>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</si>
  <si>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</si>
  <si>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</si>
  <si>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</si>
  <si>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</si>
  <si>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</si>
  <si>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</si>
  <si>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</si>
  <si>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</si>
  <si>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</si>
  <si>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</si>
  <si>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</si>
  <si>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</si>
  <si>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</si>
  <si>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</si>
  <si>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</si>
  <si>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</si>
  <si>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</si>
  <si>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</si>
  <si>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</si>
  <si>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</si>
  <si>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</si>
  <si>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</si>
  <si>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</si>
  <si>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</si>
  <si>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</si>
  <si>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</si>
  <si>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</si>
  <si>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</si>
  <si>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</si>
  <si>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</si>
  <si>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</si>
  <si>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</si>
  <si>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</si>
  <si>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</si>
  <si>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</si>
  <si>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</si>
  <si>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</si>
  <si>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</si>
  <si>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</si>
  <si>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</si>
  <si>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</si>
  <si>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</si>
  <si>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</si>
  <si>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</si>
  <si>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</si>
  <si>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</si>
  <si>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</si>
  <si>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</si>
  <si>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</si>
  <si>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</si>
  <si>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</si>
  <si>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</si>
  <si>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</si>
  <si>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</si>
  <si>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</si>
  <si>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</si>
  <si>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</si>
  <si>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</si>
  <si>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</si>
  <si>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</si>
  <si>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</si>
  <si>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</si>
  <si>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</si>
  <si>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</si>
  <si>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</si>
  <si>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</si>
  <si>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</si>
  <si>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</si>
  <si>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</si>
  <si>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</si>
  <si>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</si>
  <si>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</si>
  <si>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</si>
  <si>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</si>
  <si>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</si>
  <si>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</si>
  <si>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</si>
  <si>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</si>
  <si>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</si>
  <si>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</si>
  <si>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</si>
  <si>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</si>
  <si>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</si>
  <si>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</si>
  <si>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</si>
  <si>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</si>
  <si>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</si>
  <si>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</si>
  <si>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</si>
  <si>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</si>
  <si>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</si>
  <si>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</si>
  <si>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</si>
  <si>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</si>
  <si>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</si>
  <si>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</si>
  <si>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</si>
  <si>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</si>
  <si>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</si>
  <si>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</si>
  <si>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</si>
  <si>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</si>
  <si>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</si>
  <si>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</si>
  <si>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</si>
  <si>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</si>
  <si>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</si>
  <si>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</si>
  <si>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</si>
  <si>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</si>
  <si>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</si>
  <si>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</si>
  <si>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</si>
  <si>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</si>
  <si>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</si>
  <si>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</si>
  <si>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</si>
  <si>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</si>
  <si>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</si>
  <si>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</si>
  <si>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</si>
  <si>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</si>
  <si>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</si>
  <si>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</si>
  <si>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</si>
  <si>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</si>
  <si>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</si>
  <si>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</si>
  <si>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</si>
  <si>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</si>
  <si>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</si>
  <si>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</si>
  <si>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</si>
  <si>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</si>
  <si>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</si>
  <si>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</si>
  <si>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</si>
  <si>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</si>
  <si>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</si>
  <si>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</si>
  <si>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</si>
  <si>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</si>
  <si>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</si>
  <si>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</si>
  <si>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</si>
  <si>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</si>
  <si>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</si>
  <si>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</si>
  <si>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</si>
  <si>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</si>
  <si>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</si>
  <si>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</si>
  <si>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</si>
  <si>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</si>
  <si>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</si>
  <si>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</si>
  <si>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</si>
  <si>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</si>
  <si>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</si>
  <si>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</si>
  <si>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</si>
  <si>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</si>
  <si>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</si>
  <si>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</si>
  <si>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</si>
  <si>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</si>
  <si>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</si>
  <si>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</si>
  <si>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</si>
  <si>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</si>
  <si>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</si>
  <si>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</si>
  <si>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</si>
  <si>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</si>
  <si>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</si>
  <si>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</si>
  <si>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</si>
  <si>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</si>
  <si>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</si>
  <si>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</si>
  <si>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</si>
  <si>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</si>
  <si>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</si>
  <si>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</si>
  <si>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</si>
  <si>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</si>
  <si>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</si>
  <si>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</si>
  <si>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</si>
  <si>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</si>
  <si>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</si>
  <si>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</si>
  <si>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</si>
  <si>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</si>
  <si>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</si>
  <si>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</si>
  <si>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</si>
  <si>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</si>
  <si>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</si>
  <si>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</si>
  <si>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</si>
  <si>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</si>
  <si>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</si>
  <si>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</si>
  <si>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</si>
  <si>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</si>
  <si>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</si>
  <si>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</si>
  <si>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</si>
  <si>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</si>
  <si>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</si>
  <si>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</si>
  <si>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</si>
  <si>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</si>
  <si>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</si>
  <si>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</si>
  <si>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</si>
  <si>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</si>
  <si>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</si>
  <si>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</si>
  <si>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</si>
  <si>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</si>
  <si>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</si>
  <si>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</si>
  <si>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</si>
  <si>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</si>
  <si>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</si>
  <si>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</si>
  <si>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</si>
  <si>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</si>
  <si>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</si>
  <si>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</si>
  <si>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</si>
  <si>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</si>
  <si>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</si>
  <si>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</si>
  <si>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</si>
  <si>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</si>
  <si>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</si>
  <si>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</si>
  <si>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</si>
  <si>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</si>
  <si>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</si>
  <si>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</si>
  <si>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</si>
  <si>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</si>
  <si>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</si>
  <si>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</si>
  <si>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</si>
  <si>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</si>
  <si>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</si>
  <si>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</si>
  <si>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</si>
  <si>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</si>
  <si>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</si>
  <si>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</si>
  <si>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</si>
  <si>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</si>
  <si>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</si>
  <si>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</si>
  <si>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</si>
  <si>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</si>
  <si>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</si>
  <si>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</si>
  <si>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</si>
  <si>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</si>
  <si>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</si>
  <si>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</si>
  <si>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</si>
  <si>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</si>
  <si>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</si>
  <si>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</si>
  <si>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</si>
  <si>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</si>
  <si>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</si>
  <si>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</si>
  <si>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</si>
  <si>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</si>
  <si>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</si>
  <si>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</si>
  <si>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</si>
  <si>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</si>
  <si>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</si>
  <si>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</si>
  <si>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</si>
  <si>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</si>
  <si>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</si>
  <si>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</si>
  <si>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</si>
  <si>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</si>
  <si>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</si>
  <si>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</si>
  <si>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</si>
  <si>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</si>
  <si>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</si>
  <si>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</si>
  <si>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</si>
  <si>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</si>
  <si>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</si>
  <si>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</si>
  <si>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</si>
  <si>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</si>
  <si>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</si>
  <si>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</si>
  <si>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</si>
  <si>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</si>
  <si>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</si>
  <si>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</si>
  <si>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</si>
  <si>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</si>
  <si>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</si>
  <si>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</si>
  <si>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</si>
  <si>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</si>
  <si>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</si>
  <si>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</si>
  <si>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</si>
  <si>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</si>
  <si>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</si>
  <si>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</si>
  <si>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</si>
  <si>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</si>
  <si>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</si>
  <si>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</si>
  <si>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</si>
  <si>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</si>
  <si>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</si>
  <si>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</si>
  <si>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</si>
  <si>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</si>
  <si>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</si>
  <si>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</si>
  <si>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</si>
  <si>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</si>
  <si>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</si>
  <si>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</si>
  <si>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</si>
  <si>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</si>
  <si>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</si>
  <si>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</si>
  <si>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</si>
  <si>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</si>
  <si>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</si>
  <si>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</si>
  <si>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</si>
  <si>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</si>
  <si>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</si>
  <si>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</si>
  <si>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</si>
  <si>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</si>
  <si>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</si>
  <si>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</si>
  <si>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</si>
  <si>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</si>
  <si>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</si>
  <si>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</si>
  <si>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</si>
  <si>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</si>
  <si>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</si>
  <si>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</si>
  <si>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</si>
  <si>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</si>
  <si>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</si>
  <si>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</si>
  <si>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</si>
  <si>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</si>
  <si>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</si>
  <si>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</si>
  <si>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</si>
  <si>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</si>
  <si>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</si>
  <si>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</si>
  <si>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</si>
  <si>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</si>
  <si>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</si>
  <si>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</si>
  <si>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</si>
  <si>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</si>
  <si>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</si>
  <si>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</si>
  <si>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</si>
  <si>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</si>
  <si>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</si>
  <si>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</si>
  <si>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</si>
  <si>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</si>
  <si>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</si>
  <si>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</si>
  <si>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</si>
  <si>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</si>
  <si>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</si>
  <si>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</si>
  <si>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</si>
  <si>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</si>
  <si>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</si>
  <si>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</si>
  <si>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</si>
  <si>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</si>
  <si>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</si>
  <si>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</si>
  <si>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</si>
  <si>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</si>
  <si>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</si>
  <si>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</si>
  <si>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</si>
  <si>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</si>
  <si>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</si>
  <si>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</si>
  <si>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</si>
  <si>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</si>
  <si>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</si>
  <si>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</si>
  <si>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</si>
  <si>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</si>
  <si>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</si>
  <si>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</si>
  <si>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</si>
  <si>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</si>
  <si>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</si>
  <si>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</si>
  <si>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</si>
  <si>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</si>
  <si>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</si>
  <si>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</si>
  <si>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</si>
  <si>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</si>
  <si>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</si>
  <si>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</si>
  <si>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</si>
  <si>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</si>
  <si>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</si>
  <si>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</si>
  <si>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</si>
  <si>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</si>
  <si>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</si>
  <si>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</si>
  <si>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</si>
  <si>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</si>
  <si>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</si>
  <si>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</si>
  <si>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</si>
  <si>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</si>
  <si>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</si>
  <si>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</si>
  <si>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</si>
  <si>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</si>
  <si>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</si>
  <si>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</si>
  <si>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</si>
  <si>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</si>
  <si>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</si>
  <si>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</si>
  <si>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</si>
  <si>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</si>
  <si>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</si>
  <si>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</si>
  <si>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</si>
  <si>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</si>
  <si>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</si>
  <si>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</si>
  <si>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</si>
  <si>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</si>
  <si>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</si>
  <si>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</si>
  <si>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</si>
  <si>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</si>
  <si>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</si>
  <si>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</si>
  <si>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</si>
  <si>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</si>
  <si>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</si>
  <si>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</si>
  <si>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</si>
  <si>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</si>
  <si>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</si>
  <si>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</si>
  <si>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</si>
  <si>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</si>
  <si>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</si>
  <si>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</si>
  <si>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</si>
  <si>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</si>
  <si>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</si>
  <si>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</si>
  <si>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</si>
  <si>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</si>
  <si>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</si>
  <si>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</si>
  <si>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</si>
  <si>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</si>
  <si>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</si>
  <si>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</si>
  <si>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</si>
  <si>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</si>
  <si>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</si>
  <si>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</si>
  <si>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</si>
  <si>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</si>
  <si>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</si>
  <si>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</si>
  <si>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</si>
  <si>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</si>
  <si>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</si>
  <si>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</si>
  <si>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</si>
  <si>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</si>
  <si>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</si>
  <si>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</si>
  <si>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</si>
  <si>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</si>
  <si>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</si>
  <si>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</si>
  <si>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</si>
  <si>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</si>
  <si>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</si>
  <si>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</si>
  <si>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</si>
  <si>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</si>
  <si>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</si>
  <si>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</si>
  <si>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</si>
  <si>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</si>
  <si>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</si>
  <si>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</si>
  <si>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</si>
  <si>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</si>
  <si>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</si>
  <si>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</si>
  <si>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</si>
  <si>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</si>
  <si>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</si>
  <si>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</si>
  <si>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</si>
  <si>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</si>
  <si>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</si>
  <si>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</si>
  <si>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</si>
  <si>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</si>
  <si>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</si>
  <si>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</si>
  <si>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</si>
  <si>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</si>
  <si>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</si>
  <si>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</si>
  <si>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</si>
  <si>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</si>
  <si>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</si>
  <si>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</si>
  <si>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</si>
  <si>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</si>
  <si>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</si>
  <si>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</si>
  <si>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</si>
  <si>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</si>
  <si>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</si>
  <si>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</si>
  <si>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</si>
  <si>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</si>
  <si>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</si>
  <si>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</si>
  <si>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</si>
  <si>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</si>
  <si>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</si>
  <si>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</si>
  <si>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</si>
  <si>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</si>
  <si>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</si>
  <si>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</si>
  <si>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</si>
  <si>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</si>
  <si>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</si>
  <si>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</si>
  <si>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</si>
  <si>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</si>
  <si>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</si>
  <si>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</si>
  <si>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</si>
  <si>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</si>
  <si>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</si>
  <si>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</si>
  <si>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</si>
  <si>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</si>
  <si>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</si>
  <si>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</si>
  <si>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</si>
  <si>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</si>
  <si>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</si>
  <si>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</si>
  <si>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</si>
  <si>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</si>
  <si>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</si>
  <si>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</si>
  <si>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</si>
  <si>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</si>
  <si>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</si>
  <si>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</si>
  <si>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</si>
  <si>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</si>
  <si>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</si>
  <si>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</si>
  <si>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</si>
  <si>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</si>
  <si>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</si>
  <si>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</si>
  <si>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</si>
  <si>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</si>
  <si>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</si>
  <si>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</si>
  <si>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</si>
  <si>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</si>
  <si>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</si>
  <si>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</si>
  <si>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</si>
  <si>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</si>
  <si>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</si>
  <si>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</si>
  <si>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</si>
  <si>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</si>
  <si>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</si>
  <si>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</si>
  <si>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</si>
  <si>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</si>
  <si>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</si>
  <si>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</si>
  <si>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</si>
  <si>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</si>
  <si>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</si>
  <si>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</si>
  <si>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</si>
  <si>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</si>
  <si>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</si>
  <si>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</si>
  <si>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</si>
  <si>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</si>
  <si>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</si>
  <si>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</si>
  <si>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</si>
  <si>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</si>
  <si>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</si>
  <si>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</si>
  <si>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</si>
  <si>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</si>
  <si>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</si>
  <si>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</si>
  <si>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</si>
  <si>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</si>
  <si>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</si>
  <si>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</si>
  <si>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</si>
  <si>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</si>
  <si>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</si>
  <si>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</si>
  <si>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</si>
  <si>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</si>
  <si>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</si>
  <si>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</si>
  <si>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</si>
  <si>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</si>
  <si>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</si>
  <si>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</si>
  <si>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</si>
  <si>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</si>
  <si>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</si>
  <si>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</si>
  <si>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</si>
  <si>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</si>
  <si>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</si>
  <si>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</si>
  <si>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</si>
  <si>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</si>
  <si>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</si>
  <si>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</si>
  <si>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</si>
  <si>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</si>
  <si>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</si>
  <si>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</si>
  <si>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</si>
  <si>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</si>
  <si>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</si>
  <si>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</si>
  <si>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</si>
  <si>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</si>
  <si>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</si>
  <si>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</si>
  <si>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</si>
  <si>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</si>
  <si>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</si>
  <si>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</si>
  <si>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</si>
  <si>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</si>
  <si>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</si>
  <si>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</si>
  <si>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</si>
  <si>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</si>
  <si>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</si>
  <si>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</si>
  <si>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</si>
  <si>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</si>
  <si>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</si>
  <si>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</si>
  <si>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</si>
  <si>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</si>
  <si>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</si>
  <si>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</si>
  <si>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</si>
  <si>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</si>
  <si>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</si>
  <si>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</si>
  <si>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</si>
  <si>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</si>
  <si>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</si>
  <si>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</si>
  <si>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</si>
  <si>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</si>
  <si>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</si>
  <si>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</si>
  <si>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</si>
  <si>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</si>
  <si>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</si>
  <si>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</si>
  <si>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</si>
  <si>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</si>
  <si>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</si>
  <si>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</si>
  <si>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</si>
  <si>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</si>
  <si>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</si>
  <si>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</si>
  <si>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</si>
  <si>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</si>
  <si>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</si>
  <si>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</si>
  <si>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</si>
  <si>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</si>
  <si>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</si>
  <si>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</si>
  <si>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</si>
  <si>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</si>
  <si>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</si>
  <si>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</si>
  <si>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</si>
  <si>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</si>
  <si>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</si>
  <si>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</si>
  <si>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</si>
  <si>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</si>
  <si>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</si>
  <si>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</si>
  <si>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</si>
  <si>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</si>
  <si>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</si>
  <si>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</si>
  <si>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</si>
  <si>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</si>
  <si>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</si>
  <si>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</si>
  <si>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</si>
  <si>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</si>
  <si>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</si>
  <si>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</si>
  <si>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</si>
  <si>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</si>
  <si>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</si>
  <si>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</si>
  <si>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</si>
  <si>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</si>
  <si>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</si>
  <si>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</si>
  <si>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</si>
  <si>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</si>
  <si>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</si>
  <si>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</si>
  <si>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</si>
  <si>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</si>
  <si>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</si>
  <si>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</si>
  <si>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</si>
  <si>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</si>
  <si>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</si>
  <si>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</si>
  <si>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</si>
  <si>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</si>
  <si>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</si>
  <si>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</si>
  <si>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</si>
  <si>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</si>
  <si>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</si>
  <si>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</si>
  <si>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</si>
  <si>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</si>
  <si>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</si>
  <si>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</si>
  <si>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</si>
  <si>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</si>
  <si>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</si>
  <si>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</si>
  <si>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</si>
  <si>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</si>
  <si>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</si>
  <si>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</si>
  <si>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</si>
  <si>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</si>
  <si>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</si>
  <si>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</si>
  <si>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</si>
  <si>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</si>
  <si>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</si>
  <si>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</si>
  <si>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</si>
  <si>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</si>
  <si>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</si>
  <si>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</si>
  <si>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</si>
  <si>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</si>
  <si>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</si>
  <si>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</si>
  <si>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</si>
  <si>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</si>
  <si>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</si>
  <si>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</si>
  <si>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</si>
  <si>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</si>
  <si>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</si>
  <si>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</si>
  <si>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</si>
  <si>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</si>
  <si>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</si>
  <si>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</si>
  <si>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</si>
  <si>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</si>
  <si>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</si>
  <si>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</si>
  <si>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</si>
  <si>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</si>
  <si>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</si>
  <si>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</si>
  <si>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</si>
  <si>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</si>
  <si>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</si>
  <si>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</si>
  <si>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</si>
  <si>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</si>
  <si>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</si>
  <si>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</si>
  <si>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</si>
  <si>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</si>
  <si>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</si>
  <si>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</si>
  <si>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</si>
  <si>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</si>
  <si>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</si>
  <si>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</si>
  <si>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</si>
  <si>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</si>
  <si>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</si>
  <si>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</si>
  <si>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</si>
  <si>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</si>
  <si>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</si>
  <si>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</si>
  <si>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</si>
  <si>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</si>
  <si>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</si>
  <si>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</si>
  <si>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</si>
  <si>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</si>
  <si>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</si>
  <si>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</si>
  <si>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</si>
  <si>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</si>
  <si>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</si>
  <si>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</si>
  <si>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</si>
  <si>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</si>
  <si>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</si>
  <si>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</si>
  <si>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</si>
  <si>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</si>
  <si>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</si>
  <si>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</si>
  <si>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</si>
  <si>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</si>
  <si>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</si>
  <si>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</si>
  <si>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</si>
  <si>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</si>
  <si>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</si>
  <si>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</si>
  <si>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</si>
  <si>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</si>
  <si>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</si>
  <si>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</si>
  <si>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</si>
  <si>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</si>
  <si>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</si>
  <si>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</si>
  <si>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</si>
  <si>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</si>
  <si>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</si>
  <si>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</si>
  <si>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</si>
  <si>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</si>
  <si>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</si>
  <si>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</si>
  <si>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</si>
  <si>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</si>
  <si>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</si>
  <si>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</si>
  <si>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</si>
  <si>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</si>
  <si>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</si>
  <si>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</si>
  <si>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</si>
  <si>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</si>
  <si>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</si>
  <si>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</si>
  <si>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</si>
  <si>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</si>
  <si>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</si>
  <si>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</si>
  <si>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</si>
  <si>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</si>
  <si>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</si>
  <si>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</si>
  <si>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</si>
  <si>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</si>
  <si>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</si>
  <si>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</si>
  <si>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</si>
  <si>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</si>
  <si>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</si>
  <si>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</si>
  <si>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</si>
  <si>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</si>
  <si>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</si>
  <si>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</si>
  <si>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</si>
  <si>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</si>
  <si>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</si>
  <si>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</si>
  <si>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</si>
  <si>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</si>
  <si>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</si>
  <si>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</si>
  <si>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</si>
  <si>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</si>
  <si>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</si>
  <si>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</si>
  <si>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</si>
  <si>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</si>
  <si>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</si>
  <si>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</si>
  <si>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</si>
  <si>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</si>
  <si>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</si>
  <si>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</si>
  <si>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</si>
  <si>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</si>
  <si>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</si>
  <si>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</si>
  <si>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</si>
  <si>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</si>
  <si>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</si>
  <si>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</si>
  <si>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</si>
  <si>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</si>
  <si>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</si>
  <si>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</si>
  <si>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</si>
  <si>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</si>
  <si>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</si>
  <si>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</si>
  <si>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</si>
  <si>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</si>
  <si>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</si>
  <si>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</si>
  <si>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</si>
  <si>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</si>
  <si>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</si>
  <si>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</si>
  <si>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</si>
  <si>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</si>
  <si>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</si>
  <si>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</si>
  <si>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</si>
  <si>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</si>
  <si>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</si>
  <si>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</si>
  <si>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</si>
  <si>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</si>
  <si>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</si>
  <si>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</si>
  <si>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</si>
  <si>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</si>
  <si>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</si>
  <si>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</si>
  <si>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</si>
  <si>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</si>
  <si>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</si>
  <si>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</si>
  <si>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</si>
  <si>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</si>
  <si>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</si>
  <si>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</si>
  <si>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</si>
  <si>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</si>
  <si>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</si>
  <si>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</si>
  <si>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</si>
  <si>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</si>
  <si>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</si>
  <si>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</si>
  <si>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</si>
  <si>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</si>
  <si>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</si>
  <si>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</si>
  <si>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</si>
  <si>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</si>
  <si>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</si>
  <si>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</si>
  <si>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</si>
  <si>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</si>
  <si>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</si>
  <si>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</si>
  <si>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</si>
  <si>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</si>
  <si>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</si>
  <si>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</si>
  <si>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</si>
  <si>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</si>
  <si>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</si>
  <si>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</si>
  <si>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</si>
  <si>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</si>
  <si>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</si>
  <si>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</si>
  <si>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</si>
  <si>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</si>
  <si>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</si>
  <si>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</si>
  <si>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</si>
  <si>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</si>
  <si>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</si>
  <si>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</si>
  <si>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</si>
  <si>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</si>
  <si>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</si>
  <si>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</si>
  <si>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</si>
  <si>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</si>
  <si>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</si>
  <si>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</si>
  <si>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</si>
  <si>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</si>
  <si>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</si>
  <si>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</si>
  <si>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</si>
  <si>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</si>
  <si>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</si>
  <si>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</si>
  <si>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</si>
  <si>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</si>
  <si>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</si>
  <si>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</si>
  <si>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</si>
  <si>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</si>
  <si>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</si>
  <si>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</si>
  <si>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</si>
  <si>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</si>
  <si>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</si>
  <si>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</si>
  <si>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</si>
  <si>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</si>
  <si>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</si>
  <si>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</si>
  <si>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</si>
  <si>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</si>
  <si>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</si>
  <si>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</si>
  <si>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</si>
  <si>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</si>
  <si>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</si>
  <si>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</si>
  <si>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</si>
  <si>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</si>
  <si>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</si>
  <si>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</si>
  <si>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</si>
  <si>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</si>
  <si>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</si>
  <si>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</si>
  <si>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</si>
  <si>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</si>
  <si>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</si>
  <si>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</si>
  <si>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</si>
  <si>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</si>
  <si>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</si>
  <si>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</si>
  <si>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</si>
  <si>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</si>
  <si>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</si>
  <si>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</si>
  <si>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</si>
  <si>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</si>
  <si>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</si>
  <si>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</si>
  <si>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</si>
  <si>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</si>
  <si>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</si>
  <si>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</si>
  <si>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</si>
  <si>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</si>
  <si>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</si>
  <si>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</si>
  <si>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</si>
  <si>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</si>
  <si>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</si>
  <si>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</si>
  <si>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</si>
  <si>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</si>
  <si>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</si>
  <si>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</si>
  <si>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</si>
  <si>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</si>
  <si>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</si>
  <si>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</si>
  <si>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</si>
  <si>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</si>
  <si>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</si>
  <si>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</si>
  <si>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</si>
  <si>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</si>
  <si>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</si>
  <si>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</si>
  <si>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</si>
  <si>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</si>
  <si>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</si>
  <si>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</si>
  <si>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</si>
  <si>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</si>
  <si>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</si>
  <si>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</si>
  <si>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</si>
  <si>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</si>
  <si>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</si>
  <si>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</si>
  <si>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</si>
  <si>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</si>
  <si>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</si>
  <si>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</si>
  <si>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</si>
  <si>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</si>
  <si>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</si>
  <si>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</si>
  <si>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</si>
  <si>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</si>
  <si>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</si>
  <si>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</si>
  <si>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</si>
  <si>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</si>
  <si>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</si>
  <si>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</si>
  <si>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</si>
  <si>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</si>
  <si>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</si>
  <si>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</si>
  <si>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</si>
  <si>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</si>
  <si>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</si>
  <si>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</si>
  <si>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</si>
  <si>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</si>
  <si>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</si>
  <si>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</si>
  <si>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</si>
  <si>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</si>
  <si>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</si>
  <si>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</si>
  <si>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</si>
  <si>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</si>
  <si>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</si>
  <si>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</si>
  <si>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</si>
  <si>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</si>
  <si>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</si>
  <si>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</si>
  <si>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</si>
  <si>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</si>
  <si>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</si>
  <si>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</si>
  <si>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</si>
  <si>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</si>
  <si>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</si>
  <si>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</si>
  <si>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</si>
  <si>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</si>
  <si>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</si>
  <si>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</si>
  <si>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</si>
  <si>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</si>
  <si>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</si>
  <si>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</si>
  <si>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</si>
  <si>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</si>
  <si>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</si>
  <si>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</si>
  <si>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</si>
  <si>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</si>
  <si>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</si>
  <si>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</si>
  <si>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</si>
  <si>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</si>
  <si>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</si>
  <si>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</si>
  <si>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</si>
  <si>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</si>
  <si>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</si>
  <si>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</si>
  <si>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</si>
  <si>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</si>
  <si>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</si>
  <si>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</si>
  <si>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</si>
  <si>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</si>
  <si>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</si>
  <si>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</si>
  <si>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</si>
  <si>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</si>
  <si>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</si>
  <si>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</si>
  <si>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</si>
  <si>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</si>
  <si>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</si>
  <si>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</si>
  <si>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</si>
  <si>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</si>
  <si>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</si>
  <si>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</si>
  <si>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</si>
  <si>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</si>
  <si>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</si>
  <si>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</si>
  <si>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</si>
  <si>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</si>
  <si>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</si>
  <si>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</si>
  <si>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</si>
  <si>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</si>
  <si>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</si>
  <si>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</si>
  <si>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</si>
  <si>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</si>
  <si>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</si>
  <si>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</si>
  <si>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</si>
  <si>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</si>
  <si>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</si>
  <si>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</si>
  <si>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</si>
  <si>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</si>
  <si>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</si>
  <si>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</si>
  <si>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</si>
  <si>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</si>
  <si>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</si>
  <si>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</si>
  <si>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</si>
  <si>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</si>
  <si>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</si>
  <si>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</si>
  <si>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</si>
  <si>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</si>
  <si>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</si>
  <si>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</si>
  <si>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</si>
  <si>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</si>
  <si>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</si>
  <si>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</si>
  <si>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</si>
  <si>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</si>
  <si>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</si>
  <si>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</si>
  <si>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</si>
  <si>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</si>
  <si>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</si>
  <si>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</si>
  <si>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</si>
  <si>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</si>
  <si>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</si>
  <si>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</si>
  <si>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</si>
  <si>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</si>
  <si>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</si>
  <si>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</si>
  <si>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</si>
  <si>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</si>
  <si>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</si>
  <si>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</si>
  <si>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</si>
  <si>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</si>
  <si>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</si>
  <si>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</si>
  <si>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</si>
  <si>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</si>
  <si>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</si>
  <si>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</si>
  <si>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</si>
  <si>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</si>
  <si>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</si>
  <si>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</si>
  <si>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</si>
  <si>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</si>
  <si>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</si>
  <si>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</si>
  <si>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</si>
  <si>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</si>
  <si>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</si>
  <si>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</si>
  <si>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</si>
  <si>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</si>
  <si>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</si>
  <si>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</si>
  <si>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</si>
  <si>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</si>
  <si>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</si>
  <si>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</si>
  <si>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</si>
  <si>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</si>
  <si>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</si>
  <si>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</si>
  <si>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</si>
  <si>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</si>
  <si>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</si>
  <si>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</si>
  <si>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</si>
  <si>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</si>
  <si>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</si>
  <si>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</si>
  <si>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</si>
  <si>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</si>
  <si>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</si>
  <si>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</si>
  <si>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</si>
  <si>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</si>
  <si>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</si>
  <si>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</si>
  <si>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</si>
  <si>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</si>
  <si>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</si>
  <si>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</si>
  <si>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</si>
  <si>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</si>
  <si>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</si>
  <si>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</si>
  <si>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</si>
  <si>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</si>
  <si>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</si>
  <si>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</si>
  <si>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</si>
  <si>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</si>
  <si>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</si>
  <si>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</si>
  <si>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</si>
  <si>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</si>
  <si>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</si>
  <si>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</si>
  <si>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</si>
  <si>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</si>
  <si>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</si>
  <si>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</si>
  <si>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</si>
  <si>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</si>
  <si>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</si>
  <si>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</si>
  <si>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</si>
  <si>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</si>
  <si>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</si>
  <si>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</si>
  <si>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</si>
  <si>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</si>
  <si>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</si>
  <si>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</si>
  <si>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</si>
  <si>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</si>
  <si>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</si>
  <si>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</si>
  <si>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</si>
  <si>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</si>
  <si>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</si>
  <si>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</si>
  <si>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</si>
  <si>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</si>
  <si>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</si>
  <si>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</si>
  <si>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</si>
  <si>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</si>
  <si>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</si>
  <si>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</si>
  <si>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</si>
  <si>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</si>
  <si>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</si>
  <si>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</si>
  <si>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</si>
  <si>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</si>
  <si>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</si>
  <si>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</si>
  <si>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</si>
  <si>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</si>
  <si>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</si>
  <si>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</si>
  <si>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</si>
  <si>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</si>
  <si>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</si>
  <si>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</si>
  <si>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</si>
  <si>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</si>
  <si>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</si>
  <si>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</si>
  <si>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</si>
  <si>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</si>
  <si>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</si>
  <si>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</si>
  <si>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</si>
  <si>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</si>
  <si>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</si>
  <si>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</si>
  <si>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</si>
  <si>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</si>
  <si>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</si>
  <si>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</si>
  <si>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</si>
  <si>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</si>
  <si>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</si>
  <si>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</si>
  <si>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</si>
  <si>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</si>
  <si>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</si>
  <si>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</si>
  <si>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</si>
  <si>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</si>
  <si>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</si>
  <si>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</si>
  <si>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</si>
  <si>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</si>
  <si>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</si>
  <si>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</si>
  <si>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</si>
  <si>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</si>
  <si>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</si>
  <si>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</si>
  <si>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</si>
  <si>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</si>
  <si>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</si>
  <si>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</si>
  <si>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</si>
  <si>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</si>
  <si>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</si>
  <si>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</si>
  <si>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</si>
  <si>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</si>
  <si>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</si>
  <si>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</si>
  <si>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</si>
  <si>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</si>
  <si>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</si>
  <si>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</si>
  <si>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</si>
  <si>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</si>
  <si>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</si>
  <si>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</si>
  <si>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</si>
  <si>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</si>
  <si>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</si>
  <si>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</si>
  <si>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</si>
  <si>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</si>
  <si>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</si>
  <si>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</si>
  <si>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</si>
  <si>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</si>
  <si>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</si>
  <si>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</si>
  <si>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</si>
  <si>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</si>
  <si>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</si>
  <si>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</si>
  <si>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</si>
  <si>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</si>
  <si>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</si>
  <si>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</si>
  <si>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</si>
  <si>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</si>
  <si>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</si>
  <si>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</si>
  <si>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</si>
  <si>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</si>
  <si>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</si>
  <si>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</si>
  <si>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</si>
  <si>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</si>
  <si>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</si>
  <si>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</si>
  <si>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</si>
  <si>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</si>
  <si>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</si>
  <si>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</si>
  <si>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</si>
  <si>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</si>
  <si>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</si>
  <si>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</si>
  <si>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</si>
  <si>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</si>
  <si>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</si>
  <si>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</si>
  <si>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</si>
  <si>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</si>
  <si>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</si>
  <si>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</si>
  <si>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</si>
  <si>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</si>
  <si>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</si>
  <si>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</si>
  <si>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</si>
  <si>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</si>
  <si>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</si>
  <si>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</si>
  <si>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</si>
  <si>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</si>
  <si>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</si>
  <si>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</si>
  <si>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</si>
  <si>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</si>
  <si>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</si>
  <si>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</si>
  <si>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</si>
  <si>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</si>
  <si>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</si>
  <si>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</si>
  <si>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</si>
  <si>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</si>
  <si>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</si>
  <si>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</si>
  <si>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</si>
  <si>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</si>
  <si>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</si>
  <si>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</si>
  <si>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</si>
  <si>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</si>
  <si>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</si>
  <si>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</si>
  <si>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</si>
  <si>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</si>
  <si>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</si>
  <si>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</si>
  <si>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</si>
  <si>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</si>
  <si>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</si>
  <si>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</si>
  <si>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</si>
  <si>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</si>
  <si>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</si>
  <si>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</si>
  <si>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</si>
  <si>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</si>
  <si>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</si>
  <si>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</si>
  <si>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</si>
  <si>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</si>
  <si>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</si>
  <si>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</si>
  <si>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</si>
  <si>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</si>
  <si>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</si>
  <si>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</si>
  <si>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</si>
  <si>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</si>
  <si>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</si>
  <si>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</si>
  <si>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</si>
  <si>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</si>
  <si>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</si>
  <si>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</si>
  <si>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</si>
  <si>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</si>
  <si>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</si>
  <si>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</si>
  <si>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</si>
  <si>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</si>
  <si>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</si>
  <si>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</si>
  <si>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</si>
  <si>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</si>
  <si>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</si>
  <si>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</si>
  <si>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</si>
  <si>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</si>
  <si>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</si>
  <si>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</si>
  <si>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</si>
  <si>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</si>
  <si>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</si>
  <si>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</si>
  <si>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</si>
  <si>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</si>
  <si>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</si>
  <si>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</si>
  <si>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</si>
  <si>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</si>
  <si>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</si>
  <si>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</si>
  <si>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</si>
  <si>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</si>
  <si>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</si>
  <si>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</si>
  <si>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</si>
  <si>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</si>
  <si>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</si>
  <si>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</si>
  <si>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</si>
  <si>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</si>
  <si>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</si>
  <si>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</si>
  <si>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</si>
  <si>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</si>
  <si>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</si>
  <si>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</si>
  <si>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</si>
  <si>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</si>
  <si>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</si>
  <si>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</si>
  <si>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</si>
  <si>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</si>
  <si>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</si>
  <si>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</si>
  <si>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</si>
  <si>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</si>
  <si>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</si>
  <si>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</si>
  <si>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</si>
  <si>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</si>
  <si>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</si>
  <si>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</si>
  <si>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</si>
  <si>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</si>
  <si>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</si>
  <si>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</si>
  <si>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</si>
  <si>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</si>
  <si>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</si>
  <si>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</si>
  <si>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</si>
  <si>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</si>
  <si>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</si>
  <si>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</si>
  <si>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</si>
  <si>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</si>
  <si>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</si>
  <si>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</si>
  <si>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</si>
  <si>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</si>
  <si>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</si>
  <si>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</si>
  <si>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</si>
  <si>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</si>
  <si>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</si>
  <si>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</si>
  <si>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</si>
  <si>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</si>
  <si>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</si>
  <si>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</si>
  <si>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</si>
  <si>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</si>
  <si>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</si>
  <si>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</si>
  <si>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</si>
  <si>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</si>
  <si>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</si>
  <si>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</si>
  <si>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</si>
  <si>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</si>
  <si>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</si>
  <si>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</si>
  <si>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</si>
  <si>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</si>
  <si>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</si>
  <si>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</si>
  <si>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</si>
  <si>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</si>
  <si>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</si>
  <si>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</si>
  <si>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</si>
  <si>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</si>
  <si>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</si>
  <si>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</si>
  <si>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</si>
  <si>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</si>
  <si>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</si>
  <si>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</si>
  <si>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</si>
  <si>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</si>
  <si>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</si>
  <si>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</si>
  <si>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</si>
  <si>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</si>
  <si>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</si>
  <si>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</si>
  <si>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</si>
  <si>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</si>
  <si>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</si>
  <si>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</si>
  <si>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</si>
  <si>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</si>
  <si>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</si>
  <si>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</si>
  <si>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</si>
  <si>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</si>
  <si>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</si>
  <si>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</si>
  <si>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</si>
  <si>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</si>
  <si>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</si>
  <si>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</si>
  <si>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</si>
  <si>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</si>
  <si>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</si>
  <si>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</si>
  <si>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</si>
  <si>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</si>
  <si>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</si>
  <si>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</si>
  <si>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</si>
  <si>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</si>
  <si>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</si>
  <si>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</si>
  <si>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</si>
  <si>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</si>
  <si>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</si>
  <si>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</si>
  <si>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</si>
  <si>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</si>
  <si>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</si>
  <si>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</si>
  <si>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</si>
  <si>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</si>
  <si>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</si>
  <si>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</si>
  <si>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</si>
  <si>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</si>
  <si>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</si>
  <si>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</si>
  <si>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</si>
  <si>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</si>
  <si>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</si>
  <si>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</si>
  <si>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</si>
  <si>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</si>
  <si>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</si>
  <si>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</si>
  <si>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</si>
  <si>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</si>
  <si>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</si>
  <si>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</si>
  <si>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</si>
  <si>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</si>
  <si>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</si>
  <si>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</si>
  <si>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</si>
  <si>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</si>
  <si>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</si>
  <si>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</si>
  <si>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</si>
  <si>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</si>
  <si>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</si>
  <si>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</si>
  <si>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</si>
  <si>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</si>
  <si>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</si>
  <si>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</si>
  <si>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</si>
  <si>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</si>
  <si>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</si>
  <si>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</si>
  <si>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</si>
  <si>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</si>
  <si>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</si>
  <si>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</si>
  <si>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</si>
  <si>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</si>
  <si>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</si>
  <si>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</si>
  <si>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</si>
  <si>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</si>
  <si>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</si>
  <si>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</si>
  <si>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</si>
  <si>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</si>
  <si>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</si>
  <si>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</si>
  <si>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</si>
  <si>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</si>
  <si>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</si>
  <si>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</si>
  <si>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</si>
  <si>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</si>
  <si>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</si>
  <si>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</si>
  <si>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</si>
  <si>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</si>
  <si>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</si>
  <si>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</si>
  <si>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</si>
  <si>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</si>
  <si>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</si>
  <si>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</si>
  <si>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</si>
  <si>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</si>
  <si>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</si>
  <si>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</si>
  <si>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</si>
  <si>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</si>
  <si>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</si>
  <si>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</si>
  <si>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</si>
  <si>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</si>
  <si>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</si>
  <si>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</si>
  <si>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</si>
  <si>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</si>
  <si>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</si>
  <si>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</si>
  <si>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</si>
  <si>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</si>
  <si>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</si>
  <si>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</si>
  <si>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</si>
  <si>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</si>
  <si>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</si>
  <si>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</si>
  <si>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</si>
  <si>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</si>
  <si>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</si>
  <si>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</si>
  <si>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</si>
  <si>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</si>
  <si>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</si>
  <si>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</si>
  <si>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</si>
  <si>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</si>
  <si>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</si>
  <si>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</si>
  <si>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</si>
  <si>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</si>
  <si>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</si>
  <si>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</si>
  <si>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</si>
  <si>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</si>
  <si>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</si>
  <si>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</si>
  <si>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</si>
  <si>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</si>
  <si>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</si>
  <si>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</si>
  <si>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</si>
  <si>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</si>
  <si>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</si>
  <si>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</si>
  <si>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</si>
  <si>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</si>
  <si>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</si>
  <si>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</si>
  <si>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</si>
  <si>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</si>
  <si>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</si>
  <si>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</si>
  <si>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</si>
  <si>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</si>
  <si>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</si>
  <si>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</si>
  <si>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</si>
  <si>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</si>
  <si>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</si>
  <si>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</si>
  <si>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</si>
  <si>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</si>
  <si>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</si>
  <si>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</si>
  <si>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</si>
  <si>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</si>
  <si>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</si>
  <si>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</si>
  <si>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</si>
  <si>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</si>
  <si>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</si>
  <si>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</si>
  <si>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</si>
  <si>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</si>
  <si>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</si>
  <si>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</si>
  <si>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</si>
  <si>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</si>
  <si>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</si>
  <si>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</si>
  <si>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</si>
  <si>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</si>
  <si>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</si>
  <si>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</si>
  <si>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</si>
  <si>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</si>
  <si>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</si>
  <si>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</si>
  <si>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</si>
  <si>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</si>
  <si>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</si>
  <si>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</si>
  <si>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</si>
  <si>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</si>
  <si>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</si>
  <si>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</si>
  <si>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</si>
  <si>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</si>
  <si>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</si>
  <si>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</si>
  <si>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</si>
  <si>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</si>
  <si>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</si>
  <si>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</si>
  <si>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</si>
  <si>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</si>
  <si>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</si>
  <si>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</si>
  <si>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</si>
  <si>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</si>
  <si>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</si>
  <si>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</si>
  <si>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</si>
  <si>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</si>
  <si>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</si>
  <si>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</si>
  <si>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</si>
  <si>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</si>
  <si>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</si>
  <si>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</si>
  <si>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</si>
  <si>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</si>
  <si>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</si>
  <si>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</si>
  <si>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</si>
  <si>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</si>
  <si>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</si>
  <si>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</si>
  <si>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</si>
  <si>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</si>
  <si>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</si>
  <si>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</si>
  <si>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</si>
  <si>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</si>
  <si>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</si>
  <si>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</si>
  <si>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</si>
  <si>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</si>
  <si>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</si>
  <si>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</si>
  <si>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</si>
  <si>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</si>
  <si>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</si>
  <si>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</si>
  <si>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</si>
  <si>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</si>
  <si>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</si>
  <si>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</si>
  <si>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</si>
  <si>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</si>
  <si>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</si>
  <si>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</si>
  <si>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</si>
  <si>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</si>
  <si>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</si>
  <si>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</si>
  <si>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</si>
  <si>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</si>
  <si>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</si>
  <si>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</si>
  <si>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</si>
  <si>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</si>
  <si>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</si>
  <si>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</si>
  <si>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</si>
  <si>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</si>
  <si>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</si>
  <si>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</si>
  <si>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</si>
  <si>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</si>
  <si>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</si>
  <si>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</si>
  <si>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</si>
  <si>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</si>
  <si>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</si>
  <si>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</si>
  <si>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</si>
  <si>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</si>
  <si>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</si>
  <si>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</si>
  <si>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</si>
  <si>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</si>
  <si>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</si>
  <si>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</si>
  <si>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</si>
  <si>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</si>
  <si>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</si>
  <si>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</si>
  <si>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</si>
  <si>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</si>
  <si>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</si>
  <si>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</si>
  <si>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</si>
  <si>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</si>
  <si>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</si>
  <si>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</si>
  <si>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</si>
  <si>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</si>
  <si>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</si>
  <si>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</si>
  <si>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</si>
  <si>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</si>
  <si>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</si>
  <si>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</si>
  <si>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</si>
  <si>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</si>
  <si>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</si>
  <si>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</si>
  <si>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</si>
  <si>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</si>
  <si>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</si>
  <si>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</si>
  <si>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</si>
  <si>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</si>
  <si>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</si>
  <si>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</si>
  <si>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</si>
  <si>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</si>
  <si>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</si>
  <si>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</si>
  <si>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</si>
  <si>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</si>
  <si>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</si>
  <si>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</si>
  <si>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</si>
  <si>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</si>
  <si>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</si>
  <si>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</si>
  <si>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</si>
  <si>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</si>
  <si>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</si>
  <si>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</si>
  <si>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</si>
  <si>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</si>
  <si>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</si>
  <si>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</si>
  <si>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</si>
  <si>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</si>
  <si>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</si>
  <si>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</si>
  <si>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</si>
  <si>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</si>
  <si>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</si>
  <si>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</si>
  <si>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</si>
  <si>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</si>
  <si>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</si>
  <si>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</si>
  <si>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</si>
  <si>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</si>
  <si>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</si>
  <si>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</si>
  <si>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</si>
  <si>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</si>
  <si>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</si>
  <si>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</si>
  <si>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</si>
  <si>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</si>
  <si>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</si>
  <si>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</si>
  <si>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</si>
  <si>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</si>
  <si>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</si>
  <si>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</si>
  <si>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</si>
  <si>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</si>
  <si>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</si>
  <si>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</si>
  <si>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</si>
  <si>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</si>
  <si>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</si>
  <si>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</si>
  <si>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</si>
  <si>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</si>
  <si>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</si>
  <si>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</si>
  <si>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</si>
  <si>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</si>
  <si>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</si>
  <si>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</si>
  <si>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</si>
  <si>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</si>
  <si>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</si>
  <si>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</si>
  <si>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</si>
  <si>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</si>
  <si>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</si>
  <si>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</si>
  <si>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</si>
  <si>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</si>
  <si>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</si>
  <si>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</si>
  <si>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</si>
  <si>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</si>
  <si>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</si>
  <si>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</si>
  <si>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</si>
  <si>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</si>
  <si>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</si>
  <si>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</si>
  <si>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</si>
  <si>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</si>
  <si>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</si>
  <si>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</si>
  <si>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</si>
  <si>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</si>
  <si>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</si>
  <si>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</si>
  <si>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</si>
  <si>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</si>
  <si>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</si>
  <si>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</si>
  <si>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</si>
  <si>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</si>
  <si>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</si>
  <si>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</si>
  <si>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</si>
  <si>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</si>
  <si>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</si>
  <si>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</si>
  <si>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</si>
  <si>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</si>
  <si>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</si>
  <si>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</si>
  <si>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</si>
  <si>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</si>
  <si>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</si>
  <si>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</si>
  <si>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</si>
  <si>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</si>
  <si>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</si>
  <si>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</si>
  <si>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</si>
  <si>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</si>
  <si>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</si>
  <si>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</si>
  <si>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</si>
  <si>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</si>
  <si>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</si>
  <si>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</si>
  <si>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</si>
  <si>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</si>
  <si>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</si>
  <si>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</si>
  <si>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</si>
  <si>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</si>
  <si>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</si>
  <si>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</si>
  <si>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</si>
  <si>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</si>
  <si>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</si>
  <si>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</si>
  <si>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</si>
  <si>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</si>
  <si>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</si>
  <si>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</si>
  <si>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</si>
  <si>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</si>
  <si>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</si>
  <si>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</si>
  <si>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</si>
  <si>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</si>
  <si>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</si>
  <si>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</si>
  <si>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</si>
  <si>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</si>
  <si>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</si>
  <si>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</si>
  <si>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</si>
  <si>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</si>
  <si>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</si>
  <si>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</si>
  <si>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</si>
  <si>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</si>
  <si>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</si>
  <si>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</si>
  <si>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</si>
  <si>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</si>
  <si>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</si>
  <si>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</si>
  <si>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</si>
  <si>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</si>
  <si>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</si>
  <si>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</si>
  <si>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</si>
  <si>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</si>
  <si>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</si>
  <si>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</si>
  <si>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</si>
  <si>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</si>
  <si>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</si>
  <si>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</si>
  <si>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</si>
  <si>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</si>
  <si>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</si>
  <si>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</si>
  <si>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</si>
  <si>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</si>
  <si>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</si>
  <si>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</si>
  <si>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</si>
  <si>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</si>
  <si>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</si>
  <si>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</si>
  <si>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</si>
  <si>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</si>
  <si>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</si>
  <si>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</si>
  <si>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</si>
  <si>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</si>
  <si>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</si>
  <si>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</si>
  <si>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</si>
  <si>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</si>
  <si>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</si>
  <si>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</si>
  <si>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</si>
  <si>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</si>
  <si>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</si>
  <si>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</si>
  <si>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</si>
  <si>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</si>
  <si>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</si>
  <si>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</si>
  <si>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</si>
  <si>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</si>
  <si>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</si>
  <si>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</si>
  <si>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</si>
  <si>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</si>
  <si>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</si>
  <si>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</si>
  <si>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</si>
  <si>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</si>
  <si>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</si>
  <si>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</si>
  <si>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</si>
  <si>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</si>
  <si>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</si>
  <si>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</si>
  <si>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</si>
  <si>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</si>
  <si>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</si>
  <si>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</si>
  <si>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</si>
  <si>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</si>
  <si>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</si>
  <si>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</si>
  <si>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</si>
  <si>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</si>
  <si>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</si>
  <si>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</si>
  <si>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</si>
  <si>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</si>
  <si>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</si>
  <si>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</si>
  <si>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</si>
  <si>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</si>
  <si>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</si>
  <si>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</si>
  <si>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</si>
  <si>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</si>
  <si>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</si>
  <si>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</si>
  <si>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</si>
  <si>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</si>
  <si>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</si>
  <si>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</si>
  <si>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</si>
  <si>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</si>
  <si>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</si>
  <si>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</si>
  <si>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</si>
  <si>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</si>
  <si>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</si>
  <si>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</si>
  <si>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</si>
  <si>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</si>
  <si>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</si>
  <si>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</si>
  <si>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</si>
  <si>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</si>
  <si>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</si>
  <si>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</si>
  <si>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</si>
  <si>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</si>
  <si>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</si>
  <si>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</si>
  <si>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</si>
  <si>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</si>
  <si>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</si>
  <si>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</si>
  <si>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</si>
  <si>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</si>
  <si>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</si>
  <si>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</si>
  <si>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</si>
  <si>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</si>
  <si>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</si>
  <si>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</si>
  <si>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</si>
  <si>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</si>
  <si>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</si>
  <si>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</si>
  <si>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</si>
  <si>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</si>
  <si>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West Hills Family Apartments</t>
  </si>
  <si>
    <t>Matthew W. Szabo</t>
  </si>
  <si>
    <t>200 N Main St. Suite 1500</t>
  </si>
  <si>
    <t xml:space="preserve">Los Angeles, CA </t>
  </si>
  <si>
    <t>213-473-7565</t>
  </si>
  <si>
    <t>matthew.szabo@lacity.org</t>
  </si>
  <si>
    <t>7566 Woodlake Avenue</t>
  </si>
  <si>
    <t>TR 21391</t>
  </si>
  <si>
    <t>2021-002-013</t>
  </si>
  <si>
    <t>40%/60% Average Income</t>
  </si>
  <si>
    <t>584 1/2 N Larchmont Blvd</t>
  </si>
  <si>
    <t>CA</t>
  </si>
  <si>
    <t xml:space="preserve">Las Palmas Foundation </t>
  </si>
  <si>
    <t>Managing GP</t>
  </si>
  <si>
    <t>531 Encinitas Blvd, Suite 206</t>
  </si>
  <si>
    <t>Encinitas</t>
  </si>
  <si>
    <t>Noami Pines</t>
  </si>
  <si>
    <t>760-944-9050</t>
  </si>
  <si>
    <t>npines@laspalmashousing.com</t>
  </si>
  <si>
    <t>Elysian West Hills, LLC</t>
  </si>
  <si>
    <t>Administrative GP</t>
  </si>
  <si>
    <t>Sabelhaus &amp; Strain PC</t>
  </si>
  <si>
    <t>1724 10th Street, Suite 110</t>
  </si>
  <si>
    <t>Steve Strain</t>
  </si>
  <si>
    <t>916-444-0286</t>
  </si>
  <si>
    <t>sstrain@sabelhauslaw.com</t>
  </si>
  <si>
    <t xml:space="preserve">Financial Consultant &amp; Attorney </t>
  </si>
  <si>
    <t>Los Angeles, CA 90004</t>
  </si>
  <si>
    <t>Sacramento, CA 95811</t>
  </si>
  <si>
    <t>Herdlick Tax Credit, LLC</t>
  </si>
  <si>
    <t>12430 Tesson Ferry Road, Suite 350</t>
  </si>
  <si>
    <t>Saint Louis, MO 63128</t>
  </si>
  <si>
    <t>David Herdlick</t>
  </si>
  <si>
    <t>314-540-0890</t>
  </si>
  <si>
    <t>daveherdlick@herdlicktaxcreditllc.com</t>
  </si>
  <si>
    <t>Bernard E. Rea, CPA</t>
  </si>
  <si>
    <t>P.O. Box 492</t>
  </si>
  <si>
    <t>Aubrey, TX 76227</t>
  </si>
  <si>
    <t>Bernie Rea</t>
  </si>
  <si>
    <t>209-933-9113</t>
  </si>
  <si>
    <t>breacpa@aol.com</t>
  </si>
  <si>
    <t xml:space="preserve">Sabelhaus &amp; Strain PC </t>
  </si>
  <si>
    <t xml:space="preserve">Steve Strain </t>
  </si>
  <si>
    <t xml:space="preserve">KFA Architecture </t>
  </si>
  <si>
    <t>3573 Hayden Avenue</t>
  </si>
  <si>
    <t>Culver City, CA 90232</t>
  </si>
  <si>
    <t>John Arnold</t>
  </si>
  <si>
    <t>310-399-7975</t>
  </si>
  <si>
    <t>john@kfalosangeles.com</t>
  </si>
  <si>
    <t>Dreyfuss Builders, LLC</t>
  </si>
  <si>
    <t>5616 Corryne Place</t>
  </si>
  <si>
    <t>Culver City, CA 90230</t>
  </si>
  <si>
    <t>Michael Jaborey</t>
  </si>
  <si>
    <t>310-645-9565</t>
  </si>
  <si>
    <t xml:space="preserve">michael.jaborey@dreyfussconstruction.com										</t>
  </si>
  <si>
    <t>The Concord Group</t>
  </si>
  <si>
    <t>140 Newport Center Dr., Suite 210</t>
  </si>
  <si>
    <t>Newport Beach, CA 92660</t>
  </si>
  <si>
    <t>Michael Reynolds</t>
  </si>
  <si>
    <t>949-717-6450</t>
  </si>
  <si>
    <t xml:space="preserve">mdr@theconcordgroup.com </t>
  </si>
  <si>
    <t xml:space="preserve">Aperto Property Management </t>
  </si>
  <si>
    <t>2 Venture, Suite 545</t>
  </si>
  <si>
    <t>Irvine, CA 92618</t>
  </si>
  <si>
    <t xml:space="preserve">Ed Quigley </t>
  </si>
  <si>
    <t>949-873-0160</t>
  </si>
  <si>
    <t>equigley@apertopm.com</t>
  </si>
  <si>
    <t>Jill Ross Meer and Ron William Ross as Co-Trustees of the William G. Ross and Joy A. Ross Survivor's Trust</t>
  </si>
  <si>
    <t>Jill Ross Meer</t>
  </si>
  <si>
    <t>Ron William Ross</t>
  </si>
  <si>
    <t>Co-Trustee</t>
  </si>
  <si>
    <t>7566 Woodlake Ave</t>
  </si>
  <si>
    <t>Los Angeles, CA 91304</t>
  </si>
  <si>
    <t>Inner City Infill Site</t>
  </si>
  <si>
    <t>Family Affordable</t>
  </si>
  <si>
    <t xml:space="preserve">A2-1 </t>
  </si>
  <si>
    <t xml:space="preserve">A1-1 / Unlimited Density </t>
  </si>
  <si>
    <t>Existing</t>
  </si>
  <si>
    <t xml:space="preserve">Citi-Tax Exempt Construction </t>
  </si>
  <si>
    <t>Variable</t>
  </si>
  <si>
    <t>Citi-Taxable Construction</t>
  </si>
  <si>
    <t>Deferred Costs</t>
  </si>
  <si>
    <t>3967 E Thousand Oaks Boulevard, Ste. A</t>
  </si>
  <si>
    <t>Westlake Village, CA 91362</t>
  </si>
  <si>
    <t>Mike Hemmens</t>
  </si>
  <si>
    <t>805-413-4160</t>
  </si>
  <si>
    <t xml:space="preserve">Tax-Exempt Construction Loan </t>
  </si>
  <si>
    <t>SOFR</t>
  </si>
  <si>
    <t>3967 E Thousand Oaks Blvd, Suite A</t>
  </si>
  <si>
    <t xml:space="preserve">Taxable Construction Loan </t>
  </si>
  <si>
    <t>Los Angeles CA 90004</t>
  </si>
  <si>
    <t xml:space="preserve">Tax Credit Equity </t>
  </si>
  <si>
    <t>City of Los Angeles - Housing Authority of City of Los Angeles</t>
  </si>
  <si>
    <t>Internet, Software, Phone</t>
  </si>
  <si>
    <t>Benefits + Other</t>
  </si>
  <si>
    <t>Tax-Exempt Recycled Bonds</t>
  </si>
  <si>
    <t>Citi Tax Exempt Permanent Loan</t>
  </si>
  <si>
    <t>Other: Transaction Legal</t>
  </si>
  <si>
    <t>Las Palmas Foundation</t>
  </si>
  <si>
    <t>May</t>
  </si>
  <si>
    <t>Citi- Recycled Bond</t>
  </si>
  <si>
    <t>LIHTC Equity</t>
  </si>
  <si>
    <t>Brian Mikail</t>
  </si>
  <si>
    <t>Tax Exempt Perm</t>
  </si>
  <si>
    <t>bmikail@capstoneequities.com</t>
  </si>
  <si>
    <t>310-666-6860</t>
  </si>
  <si>
    <t>Encinitas, CA 92024</t>
  </si>
  <si>
    <t>Secured by Fee Interest</t>
  </si>
  <si>
    <t>Califonia Municipal Finance Authority</t>
  </si>
  <si>
    <t>Benjamin Barker</t>
  </si>
  <si>
    <t>CMFA Recycled Bonds</t>
  </si>
  <si>
    <t>2111 Palomar Airport Rd, Suite 320</t>
  </si>
  <si>
    <t>Carlsbad, CA 92011</t>
  </si>
  <si>
    <t>760-930-1266</t>
  </si>
  <si>
    <t>bbarker@cmfa-ca.com</t>
  </si>
  <si>
    <t>584 1/2 N. Larchmont Blvd</t>
  </si>
  <si>
    <t>R4 Capital</t>
  </si>
  <si>
    <t>78'</t>
  </si>
  <si>
    <t>Cory Bannister</t>
  </si>
  <si>
    <t>895 Dove Street, Suite 450</t>
  </si>
  <si>
    <t>949-438-1055</t>
  </si>
  <si>
    <t>Senior Vice President</t>
  </si>
  <si>
    <t>cbannister@r4cap.com</t>
  </si>
  <si>
    <t>2 Levels of Podium Parking (One Level is Partial Subterraniean)</t>
  </si>
  <si>
    <t>805-557-0933</t>
  </si>
  <si>
    <t>Capstone Equities, LLC // Elysian Housing,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</si>
</sst>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68" fontId="52" fillId="55" borderId="11" xfId="0" applyNumberFormat="1" applyFont="1" applyFill="1" applyBorder="1" applyAlignment="1" applyProtection="1">
      <alignment vertical="top" wrapText="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3" t="s">
        <v>2606</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3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2605</v>
      </c>
      <c r="E18" s="441"/>
      <c r="G18" s="441"/>
      <c r="H18" s="441"/>
      <c r="I18" s="441"/>
      <c r="J18" s="1265" t="s">
        <v>2604</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3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2520</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35" customHeight="1">
      <c r="A40" s="4"/>
      <c r="B40"/>
      <c r="C40" s="2"/>
      <c r="D40" s="4"/>
      <c r="E40" s="4" t="s">
        <v>654</v>
      </c>
      <c r="F40" s="1263" t="s">
        <v>1165</v>
      </c>
    </row>
    <row r="41" spans="1:38" s="1263"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3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3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84" sqref="G8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1586</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52205924</v>
      </c>
      <c r="I3" s="1105"/>
    </row>
    <row r="4" spans="1:13" s="1051" customFormat="1" ht="20.100000000000001" customHeight="1">
      <c r="B4" s="1094"/>
      <c r="D4" s="1108"/>
      <c r="F4" s="1092" t="s">
        <v>1993</v>
      </c>
      <c r="G4" s="1091" t="s">
        <v>1992</v>
      </c>
      <c r="H4" s="1093">
        <f>I18</f>
        <v>63481798.902859479</v>
      </c>
      <c r="I4" s="1095"/>
      <c r="K4" s="1055"/>
    </row>
    <row r="5" spans="1:13" s="1051" customFormat="1" ht="20.100000000000001" customHeight="1" thickBot="1">
      <c r="B5" s="1096"/>
      <c r="C5" s="1097"/>
      <c r="D5" s="1109"/>
      <c r="E5" s="1098"/>
      <c r="F5" s="1109" t="s">
        <v>1943</v>
      </c>
      <c r="G5" s="1110"/>
      <c r="H5" s="1106">
        <f>IFERROR(H3/H4,0)</f>
        <v>0.82237625433214423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1941</v>
      </c>
      <c r="C8" s="2660"/>
      <c r="D8" s="2660"/>
      <c r="E8" s="2661"/>
      <c r="G8" s="2662" t="s">
        <v>1942</v>
      </c>
      <c r="H8" s="2663"/>
      <c r="I8" s="2664"/>
      <c r="K8" s="1057"/>
    </row>
    <row r="9" spans="1:13" ht="15" customHeight="1">
      <c r="A9" s="1046"/>
      <c r="B9" s="2657" t="s">
        <v>1975</v>
      </c>
      <c r="C9" s="2657"/>
      <c r="D9" s="2657"/>
      <c r="E9" s="1059">
        <f>G33</f>
        <v>10075000</v>
      </c>
      <c r="G9" s="2665" t="s">
        <v>1973</v>
      </c>
      <c r="H9" s="2665"/>
      <c r="I9" s="1060">
        <f>SUMIF(Application!M554:M565,"Loan, Tax-Exempt",Application!AM554:AM565)</f>
        <v>53000000</v>
      </c>
      <c r="K9" s="1061"/>
      <c r="M9" s="1062"/>
    </row>
    <row r="10" spans="1:13" ht="15" customHeight="1" thickBot="1">
      <c r="A10" s="1046"/>
      <c r="B10" s="2657" t="s">
        <v>1976</v>
      </c>
      <c r="C10" s="2657"/>
      <c r="D10" s="2657"/>
      <c r="E10" s="1060">
        <f>G47</f>
        <v>21482424</v>
      </c>
      <c r="G10" s="2669" t="s">
        <v>1944</v>
      </c>
      <c r="H10" s="2669"/>
      <c r="I10" s="1140">
        <f>'Basis &amp; Credits'!AB78</f>
        <v>18397337</v>
      </c>
      <c r="M10" s="1062"/>
    </row>
    <row r="11" spans="1:13" ht="15" customHeight="1">
      <c r="A11" s="1046"/>
      <c r="B11" s="2673" t="s">
        <v>2265</v>
      </c>
      <c r="C11" s="2674"/>
      <c r="D11" s="2675"/>
      <c r="E11" s="1060">
        <f>SUM(E12,E13)</f>
        <v>700000</v>
      </c>
      <c r="G11" s="2672" t="s">
        <v>1984</v>
      </c>
      <c r="H11" s="2672"/>
      <c r="I11" s="1139">
        <f>I9+I10</f>
        <v>71397337</v>
      </c>
      <c r="M11" s="1062"/>
    </row>
    <row r="12" spans="1:13" ht="15" customHeight="1">
      <c r="A12" s="1063"/>
      <c r="B12" s="2658" t="s">
        <v>2267</v>
      </c>
      <c r="C12" s="2658"/>
      <c r="D12" s="2658"/>
      <c r="E12" s="1165">
        <f>G56</f>
        <v>0</v>
      </c>
      <c r="M12" s="1062"/>
    </row>
    <row r="13" spans="1:13" ht="15" customHeight="1">
      <c r="A13" s="1049"/>
      <c r="B13" s="2658" t="s">
        <v>2268</v>
      </c>
      <c r="C13" s="2658"/>
      <c r="D13" s="2658"/>
      <c r="E13" s="1165">
        <f>G65</f>
        <v>700000</v>
      </c>
      <c r="G13" s="2662" t="s">
        <v>2007</v>
      </c>
      <c r="H13" s="2663"/>
      <c r="I13" s="2664"/>
      <c r="M13" s="1062"/>
    </row>
    <row r="14" spans="1:13" ht="15" customHeight="1">
      <c r="A14" s="1049"/>
      <c r="B14" s="2673" t="s">
        <v>2266</v>
      </c>
      <c r="C14" s="2674"/>
      <c r="D14" s="2675"/>
      <c r="E14" s="1167">
        <f>MAX(E15,E16)+E17</f>
        <v>19948500</v>
      </c>
      <c r="G14" s="2665" t="s">
        <v>139</v>
      </c>
      <c r="H14" s="2665"/>
      <c r="I14" s="1064">
        <f>15%*(AND(G120="Yes",G122&lt;&gt;""))</f>
        <v>0</v>
      </c>
      <c r="M14" s="1062"/>
    </row>
    <row r="15" spans="1:13" ht="15" customHeight="1">
      <c r="A15" s="1049"/>
      <c r="B15" s="2676" t="s">
        <v>2272</v>
      </c>
      <c r="C15" s="2677"/>
      <c r="D15" s="2678"/>
      <c r="E15" s="1165">
        <f>G80</f>
        <v>6045000</v>
      </c>
      <c r="G15" s="1137" t="s">
        <v>1985</v>
      </c>
      <c r="H15" s="1137"/>
      <c r="I15" s="1064">
        <f>IF(Application!AJ1032&gt;0,10%,IF(Application!AJ1036&gt;0,5%,0))</f>
        <v>0.05</v>
      </c>
      <c r="M15" s="1062"/>
    </row>
    <row r="16" spans="1:13" ht="15" customHeight="1">
      <c r="A16" s="1049"/>
      <c r="B16" s="2676" t="s">
        <v>2271</v>
      </c>
      <c r="C16" s="2677"/>
      <c r="D16" s="2678"/>
      <c r="E16" s="1165">
        <f>G90</f>
        <v>0</v>
      </c>
      <c r="G16" s="2665" t="s">
        <v>1986</v>
      </c>
      <c r="H16" s="2665"/>
      <c r="I16" s="1064">
        <f>G132</f>
        <v>6.0866013071895424E-2</v>
      </c>
    </row>
    <row r="17" spans="1:21" ht="15" customHeight="1" thickBot="1">
      <c r="A17" s="1049"/>
      <c r="B17" s="2676" t="s">
        <v>2270</v>
      </c>
      <c r="C17" s="2677"/>
      <c r="D17" s="2678"/>
      <c r="E17" s="1165">
        <f>G115</f>
        <v>13903500</v>
      </c>
      <c r="G17" s="2665" t="s">
        <v>2280</v>
      </c>
      <c r="H17" s="2665"/>
      <c r="I17" s="1064">
        <f>IF(AND(G139="Yes",OR(G136,G137)),IF(G143&gt;15%,15%,G143),0)</f>
        <v>0</v>
      </c>
    </row>
    <row r="18" spans="1:21" ht="15" customHeight="1">
      <c r="A18" s="1046"/>
      <c r="B18" s="2668" t="s">
        <v>1940</v>
      </c>
      <c r="C18" s="2668"/>
      <c r="D18" s="2668"/>
      <c r="E18" s="1111">
        <f>SUM(E9:E11,E14)</f>
        <v>52205924</v>
      </c>
      <c r="G18" s="1138" t="s">
        <v>1974</v>
      </c>
      <c r="H18" s="1138"/>
      <c r="I18" s="1112">
        <f>I11-((I11*I14)+(I11*I15)+(I11*I16)+(I11*I17))</f>
        <v>63481798.902859479</v>
      </c>
      <c r="M18" s="1065">
        <f>SUM(Cdlac[Quantity])</f>
        <v>158</v>
      </c>
      <c r="O18" s="1084" t="s">
        <v>583</v>
      </c>
      <c r="P18" s="1044">
        <f>MATCH(Application!T189,Application!CB160:CB217,0)</f>
        <v>19</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11</v>
      </c>
      <c r="N21" s="1071">
        <f>Application!AC719</f>
        <v>0.6</v>
      </c>
      <c r="O21" s="1071">
        <f>IF(Cdlac[[#This Row],[Quantity]]&gt;0,IF(Cdlac[[#This Row],[Federal]],30%,IF(AND(OR(NOT($G$38),$G$38=""),$G$43),40%,Cdlac[[#This Row],[iAMI]])),"")</f>
        <v>0.6</v>
      </c>
      <c r="P21" s="1065" cm="1">
        <f t="array" ref="P21">IF(Cdlac[[#This Row],[Quantity]]&gt;0,INDEX(TcacRents,$P$18,Cdlac[[#This Row],[Bedrooms]]+1)*Cdlac[[#This Row],[AMI]],"")</f>
        <v>1704</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377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1988</v>
      </c>
      <c r="D22" s="2666" t="s">
        <v>1989</v>
      </c>
      <c r="E22" s="2666" t="s">
        <v>1990</v>
      </c>
      <c r="F22" s="2666" t="s">
        <v>2611</v>
      </c>
      <c r="G22" s="2666" t="s">
        <v>1987</v>
      </c>
      <c r="H22" s="1070"/>
      <c r="I22" s="1069"/>
      <c r="L22" s="1044">
        <f>IFERROR(MIN(4,MATCH(Application!B720,UnitSizes,0)-1),"")</f>
        <v>2</v>
      </c>
      <c r="M22" s="1065">
        <f>Application!G720</f>
        <v>10</v>
      </c>
      <c r="N22" s="1071">
        <f>Application!AC720</f>
        <v>0.3</v>
      </c>
      <c r="O22" s="1071">
        <f>IF(Cdlac[[#This Row],[Quantity]]&gt;0,IF(Cdlac[[#This Row],[Federal]],30%,IF(AND(OR(NOT($G$38),$G$38=""),$G$43),40%,Cdlac[[#This Row],[iAMI]])),"")</f>
        <v>0.3</v>
      </c>
      <c r="P22" s="1065" cm="1">
        <f t="array" ref="P22">IF(Cdlac[[#This Row],[Quantity]]&gt;0,INDEX(TcacRents,$P$18,Cdlac[[#This Row],[Bedrooms]]+1)*Cdlac[[#This Row],[AMI]],"")</f>
        <v>1021.8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1603.2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2</v>
      </c>
      <c r="M23" s="1065">
        <f>Application!G721</f>
        <v>10</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35</v>
      </c>
      <c r="N24" s="1071">
        <f>Application!AC722</f>
        <v>0.6</v>
      </c>
      <c r="O24" s="1071">
        <f>IF(Cdlac[[#This Row],[Quantity]]&gt;0,IF(Cdlac[[#This Row],[Federal]],30%,IF(AND(OR(NOT($G$38),$G$38=""),$G$43),40%,Cdlac[[#This Row],[iAMI]])),"")</f>
        <v>0.6</v>
      </c>
      <c r="P24" s="1065" cm="1">
        <f t="array" ref="P24">IF(Cdlac[[#This Row],[Quantity]]&gt;0,INDEX(TcacRents,$P$18,Cdlac[[#This Row],[Bedrooms]]+1)*Cdlac[[#This Row],[AMI]],"")</f>
        <v>2043.6</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581.40000000000009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31</v>
      </c>
      <c r="F25" s="1072">
        <f>E25</f>
        <v>31</v>
      </c>
      <c r="G25" s="1072">
        <f>D25*F25</f>
        <v>31</v>
      </c>
      <c r="L25" s="1044">
        <f>IFERROR(MIN(4,MATCH(Application!B723,UnitSizes,0)-1),"")</f>
        <v>2</v>
      </c>
      <c r="M25" s="1065">
        <f>Application!G723</f>
        <v>25</v>
      </c>
      <c r="N25" s="1071">
        <f>Application!AC723</f>
        <v>0.7</v>
      </c>
      <c r="O25" s="1071">
        <f>IF(Cdlac[[#This Row],[Quantity]]&gt;0,IF(Cdlac[[#This Row],[Federal]],30%,IF(AND(OR(NOT($G$38),$G$38=""),$G$43),40%,Cdlac[[#This Row],[iAMI]])),"")</f>
        <v>0.7</v>
      </c>
      <c r="P25" s="1065" cm="1">
        <f t="array" ref="P25">IF(Cdlac[[#This Row],[Quantity]]&gt;0,INDEX(TcacRents,$P$18,Cdlac[[#This Row],[Bedrooms]]+1)*Cdlac[[#This Row],[AMI]],"")</f>
        <v>2384.1999999999998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240.80000000000018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80</v>
      </c>
      <c r="F26" s="1075">
        <f>SUM(E26:E28)-SUM(F27:F28)</f>
        <v>80</v>
      </c>
      <c r="G26" s="1072">
        <f>D26*F26</f>
        <v>100</v>
      </c>
      <c r="H26" s="1074"/>
      <c r="I26" s="1074"/>
      <c r="L26" s="1044">
        <f>IFERROR(MIN(4,MATCH(Application!B724,UnitSizes,0)-1),"")</f>
        <v>3</v>
      </c>
      <c r="M26" s="1065">
        <f>Application!G724</f>
        <v>5</v>
      </c>
      <c r="N26" s="1071">
        <f>Application!AC724</f>
        <v>0.3</v>
      </c>
      <c r="O26" s="1071">
        <f>IF(Cdlac[[#This Row],[Quantity]]&gt;0,IF(Cdlac[[#This Row],[Federal]],30%,IF(AND(OR(NOT($G$38),$G$38=""),$G$43),40%,Cdlac[[#This Row],[iAMI]])),"")</f>
        <v>0.3</v>
      </c>
      <c r="P26" s="1065" cm="1">
        <f t="array" ref="P26">IF(Cdlac[[#This Row],[Quantity]]&gt;0,INDEX(TcacRents,$P$18,Cdlac[[#This Row],[Bedrooms]]+1)*Cdlac[[#This Row],[AMI]],"")</f>
        <v>1181.3999999999999</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2153.6000000000004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47</v>
      </c>
      <c r="F27" s="1075">
        <f>MIN(E27,ROUNDDOWN(E29*30%,0))</f>
        <v>47</v>
      </c>
      <c r="G27" s="1072">
        <f>D27*F27</f>
        <v>70.5</v>
      </c>
      <c r="H27" s="1074"/>
      <c r="I27" s="1074"/>
      <c r="L27" s="1044">
        <f>IFERROR(MIN(4,MATCH(Application!B725,UnitSizes,0)-1),"")</f>
        <v>3</v>
      </c>
      <c r="M27" s="1065">
        <f>Application!G725</f>
        <v>5</v>
      </c>
      <c r="N27" s="1071">
        <f>Application!AC725</f>
        <v>0.5</v>
      </c>
      <c r="O27" s="1071">
        <f>IF(Cdlac[[#This Row],[Quantity]]&gt;0,IF(Cdlac[[#This Row],[Federal]],30%,IF(AND(OR(NOT($G$38),$G$38=""),$G$43),40%,Cdlac[[#This Row],[iAMI]])),"")</f>
        <v>0.5</v>
      </c>
      <c r="P27" s="1065" cm="1">
        <f t="array" ref="P27">IF(Cdlac[[#This Row],[Quantity]]&gt;0,INDEX(TcacRents,$P$18,Cdlac[[#This Row],[Bedrooms]]+1)*Cdlac[[#This Row],[AMI]],"")</f>
        <v>1969</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1366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37</v>
      </c>
      <c r="N28" s="1071">
        <f>Application!AC726</f>
        <v>0.7</v>
      </c>
      <c r="O28" s="1071">
        <f>IF(Cdlac[[#This Row],[Quantity]]&gt;0,IF(Cdlac[[#This Row],[Federal]],30%,IF(AND(OR(NOT($G$38),$G$38=""),$G$43),40%,Cdlac[[#This Row],[iAMI]])),"")</f>
        <v>0.7</v>
      </c>
      <c r="P28" s="1065" cm="1">
        <f t="array" ref="P28">IF(Cdlac[[#This Row],[Quantity]]&gt;0,INDEX(TcacRents,$P$18,Cdlac[[#This Row],[Bedrooms]]+1)*Cdlac[[#This Row],[AMI]],"")</f>
        <v>2756.6</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578.40000000000009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0" t="s">
        <v>1587</v>
      </c>
      <c r="D29" s="2681"/>
      <c r="E29" s="1089">
        <f>SUM(E24:E28)</f>
        <v>158</v>
      </c>
      <c r="F29" s="1089">
        <f>SUM(F24:F28)</f>
        <v>158</v>
      </c>
      <c r="G29" s="1090">
        <f>SUMPRODUCT(D24:D28,F24:F28)</f>
        <v>201.5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201.5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10075000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0.56329113924050633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119346.8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21482424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79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35</v>
      </c>
    </row>
    <row r="61" spans="2:21" ht="15" customHeight="1">
      <c r="E61" s="1117" t="s">
        <v>1996</v>
      </c>
      <c r="G61" s="1079">
        <f>ROUNDDOWN(E29*50%,0)</f>
        <v>79</v>
      </c>
    </row>
    <row r="62" spans="2:21" ht="15" customHeight="1">
      <c r="E62" s="1117"/>
      <c r="G62" s="1079"/>
    </row>
    <row r="63" spans="2:21" ht="15" customHeight="1">
      <c r="E63" s="1117" t="s">
        <v>1956</v>
      </c>
      <c r="G63" s="1114">
        <f>MIN(G60:G61)</f>
        <v>35</v>
      </c>
    </row>
    <row r="64" spans="2:21" ht="15" customHeight="1">
      <c r="E64" s="1117" t="s">
        <v>1946</v>
      </c>
      <c r="F64" s="1113" t="s">
        <v>1994</v>
      </c>
      <c r="G64" s="1124">
        <v>20000</v>
      </c>
    </row>
    <row r="65" spans="2:14" ht="15" customHeight="1">
      <c r="E65" s="1118" t="s">
        <v>1978</v>
      </c>
      <c r="F65" s="1046"/>
      <c r="G65" s="1123">
        <f>G63*G64</f>
        <v>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53" t="s">
        <v>1971</v>
      </c>
      <c r="M72" s="2654"/>
      <c r="N72" s="1131">
        <v>30000</v>
      </c>
    </row>
    <row r="73" spans="2:14" ht="15" customHeight="1">
      <c r="C73" s="2655" t="s">
        <v>2264</v>
      </c>
      <c r="D73" s="2655"/>
      <c r="E73" s="2655"/>
      <c r="F73" s="2655"/>
      <c r="G73" s="1043" t="s">
        <v>670</v>
      </c>
      <c r="L73" s="2670" t="s">
        <v>1939</v>
      </c>
      <c r="M73" s="2671"/>
      <c r="N73" s="1132">
        <v>20000</v>
      </c>
    </row>
    <row r="74" spans="2:14" ht="15" customHeight="1" thickBot="1">
      <c r="C74" s="2655"/>
      <c r="D74" s="2655"/>
      <c r="E74" s="2655"/>
      <c r="F74" s="2655"/>
      <c r="L74" s="2645" t="s">
        <v>1972</v>
      </c>
      <c r="M74" s="2646"/>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201.5</v>
      </c>
    </row>
    <row r="80" spans="2:14" ht="15" customHeight="1">
      <c r="D80" s="1046"/>
      <c r="E80" s="1118" t="s">
        <v>2269</v>
      </c>
      <c r="F80" s="1046"/>
      <c r="G80" s="1123">
        <f>G79*G78*G76</f>
        <v>6045000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201.5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201.5</v>
      </c>
    </row>
    <row r="97" spans="2:14" ht="15" customHeight="1">
      <c r="E97" s="1118" t="s">
        <v>1963</v>
      </c>
      <c r="F97" s="1046"/>
      <c r="G97" s="1123">
        <f>G94*G95*G96</f>
        <v>5642000</v>
      </c>
      <c r="L97" s="1127" t="str">
        <f>'Points System'!H638</f>
        <v>(i)</v>
      </c>
      <c r="M97" s="2651" t="s">
        <v>1406</v>
      </c>
      <c r="N97" s="2652"/>
    </row>
    <row r="98" spans="2:14" ht="15" customHeight="1">
      <c r="C98" s="1077"/>
      <c r="G98" s="1114"/>
      <c r="L98" s="1128" t="str">
        <f>'Points System'!H650</f>
        <v>N/A</v>
      </c>
      <c r="M98" s="2647" t="s">
        <v>1958</v>
      </c>
      <c r="N98" s="2648"/>
    </row>
    <row r="99" spans="2:14" ht="15" customHeight="1">
      <c r="E99" s="1084" t="s">
        <v>1999</v>
      </c>
      <c r="G99" s="1126">
        <f>COUNTIFS(L97:L104,"(i)")</f>
        <v>4</v>
      </c>
      <c r="L99" s="1128" t="str">
        <f>'Points System'!H685</f>
        <v>(ii)</v>
      </c>
      <c r="M99" s="2647" t="s">
        <v>1959</v>
      </c>
      <c r="N99" s="2648"/>
    </row>
    <row r="100" spans="2:14" ht="15" customHeight="1">
      <c r="E100" s="1084" t="s">
        <v>1946</v>
      </c>
      <c r="F100" s="1113" t="s">
        <v>1994</v>
      </c>
      <c r="G100" s="1124">
        <v>4000</v>
      </c>
      <c r="L100" s="1128" t="str">
        <f>IF(OR('Points System'!H709="(ii)",'Points System'!H709="(i)"),"(i)","N/A")</f>
        <v>(i)</v>
      </c>
      <c r="M100" s="2647" t="s">
        <v>1960</v>
      </c>
      <c r="N100" s="2648"/>
    </row>
    <row r="101" spans="2:14" ht="15" customHeight="1">
      <c r="E101" s="1118" t="s">
        <v>1964</v>
      </c>
      <c r="F101" s="1046"/>
      <c r="G101" s="1123">
        <f>G96*G99*G100</f>
        <v>3224000</v>
      </c>
      <c r="L101" s="1129" t="str">
        <f>'Points System'!H723</f>
        <v>N/A</v>
      </c>
      <c r="M101" s="2647" t="s">
        <v>1432</v>
      </c>
      <c r="N101" s="2648"/>
    </row>
    <row r="102" spans="2:14" ht="15" customHeight="1">
      <c r="L102" s="1128" t="str">
        <f>'Points System'!H735</f>
        <v>N/A</v>
      </c>
      <c r="M102" s="2647" t="s">
        <v>1961</v>
      </c>
      <c r="N102" s="2648"/>
    </row>
    <row r="103" spans="2:14" ht="15" customHeight="1">
      <c r="C103" s="1080" t="s">
        <v>1966</v>
      </c>
      <c r="L103" s="1128" t="str">
        <f>'Points System'!H751</f>
        <v>(i)</v>
      </c>
      <c r="M103" s="2647" t="s">
        <v>1962</v>
      </c>
      <c r="N103" s="2648"/>
    </row>
    <row r="104" spans="2:14" ht="15" customHeight="1" thickBot="1">
      <c r="C104" s="1077" t="s">
        <v>1967</v>
      </c>
      <c r="G104" s="1043"/>
      <c r="L104" s="1130" t="str">
        <f>'Points System'!H763</f>
        <v>(i)</v>
      </c>
      <c r="M104" s="2649" t="s">
        <v>1435</v>
      </c>
      <c r="N104" s="2650"/>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201.5</v>
      </c>
    </row>
    <row r="112" spans="2:14" ht="15" customHeight="1">
      <c r="E112" s="1084" t="s">
        <v>1946</v>
      </c>
      <c r="F112" s="1113" t="s">
        <v>1994</v>
      </c>
      <c r="G112" s="1124">
        <v>25000</v>
      </c>
    </row>
    <row r="113" spans="2:9" ht="15" customHeight="1">
      <c r="E113" s="1118" t="s">
        <v>1965</v>
      </c>
      <c r="F113" s="1046"/>
      <c r="G113" s="1123">
        <f>G109*G112*G96</f>
        <v>5037500</v>
      </c>
    </row>
    <row r="114" spans="2:9" ht="15" customHeight="1">
      <c r="C114" s="1077"/>
      <c r="E114" s="1077"/>
    </row>
    <row r="115" spans="2:9" ht="15" customHeight="1">
      <c r="E115" s="1118" t="s">
        <v>2274</v>
      </c>
      <c r="G115" s="1123">
        <f>G113+G101+G97</f>
        <v>13903500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2229</v>
      </c>
      <c r="D119" s="2682"/>
      <c r="E119" s="2682"/>
      <c r="F119" s="2682"/>
    </row>
    <row r="120" spans="2:9" ht="15" customHeight="1">
      <c r="C120" s="2682"/>
      <c r="D120" s="2682"/>
      <c r="E120" s="2682"/>
      <c r="F120" s="2682"/>
      <c r="G120" s="1043"/>
    </row>
    <row r="121" spans="2:9" ht="15" customHeight="1"/>
    <row r="122" spans="2:9" ht="15" customHeight="1">
      <c r="C122" s="1044" t="s">
        <v>2231</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79" t="s">
        <v>2277</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7950000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20</v>
      </c>
      <c r="C4" s="1162"/>
      <c r="D4" s="428">
        <f>Application!O718</f>
        <v>822</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11</v>
      </c>
      <c r="C5" s="1162"/>
      <c r="D5" s="428">
        <f>Application!O719</f>
        <v>1674</v>
      </c>
      <c r="E5" s="429"/>
      <c r="F5" s="1083"/>
      <c r="G5" s="428">
        <f t="shared" ref="G5:G38" si="2">F5*B5</f>
        <v>0</v>
      </c>
      <c r="H5" s="429"/>
      <c r="I5" s="428" t="str">
        <f t="shared" si="0"/>
        <v/>
      </c>
      <c r="J5" s="428" t="str">
        <f t="shared" si="1"/>
        <v/>
      </c>
      <c r="K5" s="204"/>
      <c r="L5" s="305"/>
    </row>
    <row r="6" spans="1:12">
      <c r="A6" s="428" t="str">
        <f>Application!B720</f>
        <v>2 Bedrooms</v>
      </c>
      <c r="B6" s="1082">
        <f>Application!G720</f>
        <v>10</v>
      </c>
      <c r="C6" s="1162"/>
      <c r="D6" s="428">
        <f>Application!O720</f>
        <v>983</v>
      </c>
      <c r="E6" s="429"/>
      <c r="F6" s="1083"/>
      <c r="G6" s="428">
        <f t="shared" si="2"/>
        <v>0</v>
      </c>
      <c r="H6" s="429"/>
      <c r="I6" s="428" t="str">
        <f t="shared" si="0"/>
        <v/>
      </c>
      <c r="J6" s="428" t="str">
        <f t="shared" si="1"/>
        <v/>
      </c>
      <c r="K6" s="204"/>
      <c r="L6" s="305"/>
    </row>
    <row r="7" spans="1:12">
      <c r="A7" s="428" t="str">
        <f>Application!B721</f>
        <v>2 Bedrooms</v>
      </c>
      <c r="B7" s="1082">
        <f>Application!G721</f>
        <v>10</v>
      </c>
      <c r="C7" s="1162"/>
      <c r="D7" s="428">
        <f>Application!O721</f>
        <v>1665</v>
      </c>
      <c r="E7" s="429"/>
      <c r="F7" s="1083"/>
      <c r="G7" s="428">
        <f t="shared" si="2"/>
        <v>0</v>
      </c>
      <c r="H7" s="429"/>
      <c r="I7" s="428" t="str">
        <f t="shared" si="0"/>
        <v/>
      </c>
      <c r="J7" s="428" t="str">
        <f t="shared" si="1"/>
        <v/>
      </c>
      <c r="K7" s="204"/>
      <c r="L7" s="305"/>
    </row>
    <row r="8" spans="1:12">
      <c r="A8" s="428" t="str">
        <f>Application!B722</f>
        <v>2 Bedrooms</v>
      </c>
      <c r="B8" s="1082">
        <f>Application!G722</f>
        <v>35</v>
      </c>
      <c r="C8" s="1162"/>
      <c r="D8" s="428">
        <f>Application!O722</f>
        <v>2005</v>
      </c>
      <c r="E8" s="429"/>
      <c r="F8" s="1083"/>
      <c r="G8" s="428">
        <f t="shared" si="2"/>
        <v>0</v>
      </c>
      <c r="H8" s="429"/>
      <c r="I8" s="428" t="str">
        <f t="shared" si="0"/>
        <v/>
      </c>
      <c r="J8" s="428" t="str">
        <f t="shared" si="1"/>
        <v/>
      </c>
      <c r="K8" s="204"/>
      <c r="L8" s="305"/>
    </row>
    <row r="9" spans="1:12">
      <c r="A9" s="428" t="str">
        <f>Application!B723</f>
        <v>2 Bedrooms</v>
      </c>
      <c r="B9" s="1082">
        <f>Application!G723</f>
        <v>25</v>
      </c>
      <c r="C9" s="1162"/>
      <c r="D9" s="428">
        <f>Application!O723</f>
        <v>2346</v>
      </c>
      <c r="E9" s="429"/>
      <c r="F9" s="1083"/>
      <c r="G9" s="428">
        <f t="shared" si="2"/>
        <v>0</v>
      </c>
      <c r="H9" s="429"/>
      <c r="I9" s="428" t="str">
        <f t="shared" si="0"/>
        <v/>
      </c>
      <c r="J9" s="428" t="str">
        <f t="shared" si="1"/>
        <v/>
      </c>
      <c r="K9" s="204"/>
      <c r="L9" s="305"/>
    </row>
    <row r="10" spans="1:12">
      <c r="A10" s="428" t="str">
        <f>Application!B724</f>
        <v>3 Bedrooms</v>
      </c>
      <c r="B10" s="1082">
        <f>Application!G724</f>
        <v>5</v>
      </c>
      <c r="C10" s="1162"/>
      <c r="D10" s="428">
        <f>Application!O724</f>
        <v>1131</v>
      </c>
      <c r="E10" s="429"/>
      <c r="F10" s="1083"/>
      <c r="G10" s="428">
        <f t="shared" si="2"/>
        <v>0</v>
      </c>
      <c r="H10" s="429"/>
      <c r="I10" s="428" t="str">
        <f t="shared" si="0"/>
        <v/>
      </c>
      <c r="J10" s="428" t="str">
        <f t="shared" si="1"/>
        <v/>
      </c>
      <c r="K10" s="204"/>
      <c r="L10" s="305"/>
    </row>
    <row r="11" spans="1:12">
      <c r="A11" s="428" t="str">
        <f>Application!B725</f>
        <v>3 Bedrooms</v>
      </c>
      <c r="B11" s="1082">
        <f>Application!G725</f>
        <v>5</v>
      </c>
      <c r="C11" s="1162"/>
      <c r="D11" s="428">
        <f>Application!O725</f>
        <v>1920</v>
      </c>
      <c r="E11" s="429"/>
      <c r="F11" s="1083"/>
      <c r="G11" s="428">
        <f t="shared" si="2"/>
        <v>0</v>
      </c>
      <c r="H11" s="429"/>
      <c r="I11" s="428" t="str">
        <f t="shared" si="0"/>
        <v/>
      </c>
      <c r="J11" s="428" t="str">
        <f t="shared" si="1"/>
        <v/>
      </c>
      <c r="K11" s="204"/>
      <c r="L11" s="305"/>
    </row>
    <row r="12" spans="1:12">
      <c r="A12" s="428" t="str">
        <f>Application!B726</f>
        <v>3 Bedrooms</v>
      </c>
      <c r="B12" s="1082">
        <f>Application!G726</f>
        <v>37</v>
      </c>
      <c r="C12" s="1162"/>
      <c r="D12" s="428">
        <f>Application!O726</f>
        <v>2708</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305610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7" t="s">
        <v>2498</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2260</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60" sqref="C60"/>
    </sheetView>
  </sheetViews>
  <sheetFormatPr defaultColWidth="0" defaultRowHeight="12.75" zeroHeight="1"/>
  <cols>
    <col min="1" max="1" width="3.7109375" customWidth="1"/>
    <col min="2" max="2" width="30.42578125" customWidth="1"/>
    <col min="3" max="3" width="11"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3667320</v>
      </c>
      <c r="G4" s="219">
        <f>E4*$C$4</f>
        <v>3759002.9999999995</v>
      </c>
      <c r="I4" s="219">
        <f>G4*$C$4</f>
        <v>3852978.0749999993</v>
      </c>
      <c r="K4" s="219">
        <f>I4*$C$4</f>
        <v>3949302.5268749991</v>
      </c>
      <c r="M4" s="219">
        <f>K4*$C$4</f>
        <v>4048035.0900468738</v>
      </c>
      <c r="O4" s="219">
        <f>M4*$C$4</f>
        <v>4149235.9672980453</v>
      </c>
      <c r="Q4" s="219">
        <f>O4*$C$4</f>
        <v>4252966.8664804958</v>
      </c>
      <c r="S4" s="219">
        <f>Q4*$C$4</f>
        <v>4359291.0381425079</v>
      </c>
      <c r="U4" s="219">
        <f>S4*$C$4</f>
        <v>4468273.3140960699</v>
      </c>
      <c r="W4" s="219">
        <f>U4*$C$4</f>
        <v>4579980.1469484717</v>
      </c>
      <c r="Y4" s="219">
        <f>W4*$C$4</f>
        <v>4694479.6506221835</v>
      </c>
      <c r="AA4" s="219">
        <f>Y4*$C$4</f>
        <v>4811841.6418877374</v>
      </c>
      <c r="AC4" s="219">
        <f>AA4*$C$4</f>
        <v>4932137.6829349305</v>
      </c>
      <c r="AE4" s="219">
        <f>AC4*$C$4</f>
        <v>5055441.1250083037</v>
      </c>
      <c r="AG4" s="219">
        <f>AE4*$C$4</f>
        <v>5181827.1531335106</v>
      </c>
    </row>
    <row r="5" spans="1:34" s="210" customFormat="1" ht="14.25">
      <c r="B5" s="210" t="s">
        <v>839</v>
      </c>
      <c r="C5" s="238">
        <f>IF(Application!$D$211="Special Needs",(((0.1*Application!$T$212)+(0.05*(1-Application!$T$212)))),0.05)</f>
        <v>0.05</v>
      </c>
      <c r="E5" s="221">
        <f>-E4*$C$5</f>
        <v>-183366</v>
      </c>
      <c r="F5" s="221"/>
      <c r="G5" s="221">
        <f>-G4*$C$5</f>
        <v>-187950.15</v>
      </c>
      <c r="H5" s="221"/>
      <c r="I5" s="221">
        <f>-I4*$C$5</f>
        <v>-192648.90374999997</v>
      </c>
      <c r="J5" s="221"/>
      <c r="K5" s="221">
        <f>-K4*$C$5</f>
        <v>-197465.12634374996</v>
      </c>
      <c r="L5" s="221"/>
      <c r="M5" s="221">
        <f>-M4*$C$5</f>
        <v>-202401.75450234371</v>
      </c>
      <c r="N5" s="221"/>
      <c r="O5" s="221">
        <f>-O4*$C$5</f>
        <v>-207461.79836490226</v>
      </c>
      <c r="P5" s="221"/>
      <c r="Q5" s="221">
        <f>-Q4*$C$5</f>
        <v>-212648.34332402481</v>
      </c>
      <c r="R5" s="221"/>
      <c r="S5" s="221">
        <f>-S4*$C$5</f>
        <v>-217964.55190712539</v>
      </c>
      <c r="T5" s="221"/>
      <c r="U5" s="221">
        <f>-U4*$C$5</f>
        <v>-223413.66570480351</v>
      </c>
      <c r="V5" s="221"/>
      <c r="W5" s="221">
        <f>-W4*$C$5</f>
        <v>-228999.00734742358</v>
      </c>
      <c r="X5" s="221"/>
      <c r="Y5" s="221">
        <f>-Y4*$C$5</f>
        <v>-234723.98253110918</v>
      </c>
      <c r="Z5" s="221"/>
      <c r="AA5" s="221">
        <f>-AA4*$C$5</f>
        <v>-240592.08209438689</v>
      </c>
      <c r="AB5" s="221"/>
      <c r="AC5" s="221">
        <f>-AC4*$C$5</f>
        <v>-246606.88414674654</v>
      </c>
      <c r="AD5" s="221"/>
      <c r="AE5" s="221">
        <f>-AE4*$C$5</f>
        <v>-252772.05625041519</v>
      </c>
      <c r="AF5" s="221"/>
      <c r="AG5" s="221">
        <f>-AG4*$C$5</f>
        <v>-259091.35765667554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92500</v>
      </c>
      <c r="F8" s="222"/>
      <c r="G8" s="222">
        <f>E8*$C$8</f>
        <v>94812.499999999985</v>
      </c>
      <c r="H8" s="222"/>
      <c r="I8" s="222">
        <f>G8*$C$8</f>
        <v>97182.812499999971</v>
      </c>
      <c r="J8" s="222"/>
      <c r="K8" s="222">
        <f>I8*$C$8</f>
        <v>99612.382812499956</v>
      </c>
      <c r="L8" s="222"/>
      <c r="M8" s="222">
        <f>K8*$C$8</f>
        <v>102102.69238281244</v>
      </c>
      <c r="N8" s="222"/>
      <c r="O8" s="222">
        <f>M8*$C$8</f>
        <v>104655.25969238274</v>
      </c>
      <c r="P8" s="222"/>
      <c r="Q8" s="222">
        <f>O8*$C$8</f>
        <v>107271.6411846923</v>
      </c>
      <c r="R8" s="222"/>
      <c r="S8" s="222">
        <f>Q8*$C$8</f>
        <v>109953.43221430959</v>
      </c>
      <c r="T8" s="222"/>
      <c r="U8" s="222">
        <f>S8*$C$8</f>
        <v>112702.26801966732</v>
      </c>
      <c r="V8" s="222"/>
      <c r="W8" s="222">
        <f>U8*$C$8</f>
        <v>115519.82472015898</v>
      </c>
      <c r="X8" s="222"/>
      <c r="Y8" s="222">
        <f>W8*$C$8</f>
        <v>118407.82033816294</v>
      </c>
      <c r="Z8" s="222"/>
      <c r="AA8" s="222">
        <f>Y8*$C$8</f>
        <v>121368.01584661701</v>
      </c>
      <c r="AB8" s="222"/>
      <c r="AC8" s="222">
        <f>AA8*$C$8</f>
        <v>124402.21624278242</v>
      </c>
      <c r="AD8" s="222"/>
      <c r="AE8" s="222">
        <f>AC8*$C$8</f>
        <v>127512.27164885197</v>
      </c>
      <c r="AF8" s="222"/>
      <c r="AG8" s="222">
        <f>AE8*$C$8</f>
        <v>130700.07844007325</v>
      </c>
    </row>
    <row r="9" spans="1:34" s="210" customFormat="1" ht="14.25">
      <c r="B9" s="210" t="s">
        <v>839</v>
      </c>
      <c r="C9" s="238">
        <f>IF(Application!$D$211="Special Needs",(((0.1*Application!$T$212)+(0.05*(1-Application!$T$212)))),0.05)</f>
        <v>0.05</v>
      </c>
      <c r="E9" s="221">
        <f>-E8*$C$9</f>
        <v>-4625</v>
      </c>
      <c r="F9" s="221"/>
      <c r="G9" s="221">
        <f>-G8*$C$9</f>
        <v>-4740.6249999999991</v>
      </c>
      <c r="H9" s="221"/>
      <c r="I9" s="221">
        <f>-I8*$C$9</f>
        <v>-4859.1406249999991</v>
      </c>
      <c r="J9" s="221"/>
      <c r="K9" s="221">
        <f>-K8*$C$9</f>
        <v>-4980.6191406249982</v>
      </c>
      <c r="L9" s="221"/>
      <c r="M9" s="221">
        <f>-M8*$C$9</f>
        <v>-5105.1346191406228</v>
      </c>
      <c r="N9" s="221"/>
      <c r="O9" s="221">
        <f>-O8*$C$9</f>
        <v>-5232.7629846191376</v>
      </c>
      <c r="P9" s="221"/>
      <c r="Q9" s="221">
        <f>-Q8*$C$9</f>
        <v>-5363.5820592346154</v>
      </c>
      <c r="R9" s="221"/>
      <c r="S9" s="221">
        <f>-S8*$C$9</f>
        <v>-5497.6716107154798</v>
      </c>
      <c r="T9" s="221"/>
      <c r="U9" s="221">
        <f>-U8*$C$9</f>
        <v>-5635.1134009833659</v>
      </c>
      <c r="V9" s="221"/>
      <c r="W9" s="221">
        <f>-W8*$C$9</f>
        <v>-5775.9912360079497</v>
      </c>
      <c r="X9" s="221"/>
      <c r="Y9" s="221">
        <f>-Y8*$C$9</f>
        <v>-5920.3910169081473</v>
      </c>
      <c r="Z9" s="221"/>
      <c r="AA9" s="221">
        <f>-AA8*$C$9</f>
        <v>-6068.4007923308509</v>
      </c>
      <c r="AB9" s="221"/>
      <c r="AC9" s="221">
        <f>-AC8*$C$9</f>
        <v>-6220.1108121391217</v>
      </c>
      <c r="AD9" s="221"/>
      <c r="AE9" s="221">
        <f>-AE8*$C$9</f>
        <v>-6375.6135824425983</v>
      </c>
      <c r="AF9" s="221"/>
      <c r="AG9" s="221">
        <f>-AG8*$C$9</f>
        <v>-6535.0039220036633</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3571829</v>
      </c>
      <c r="G11" s="223">
        <f>SUM(G4:G10)</f>
        <v>3661124.7249999996</v>
      </c>
      <c r="I11" s="223">
        <f>SUM(I4:I10)</f>
        <v>3752652.8431249992</v>
      </c>
      <c r="K11" s="223">
        <f>SUM(K4:K10)</f>
        <v>3846469.1642031241</v>
      </c>
      <c r="M11" s="223">
        <f>SUM(M4:M10)</f>
        <v>3942630.8933082023</v>
      </c>
      <c r="O11" s="223">
        <f>SUM(O4:O10)</f>
        <v>4041196.6656409064</v>
      </c>
      <c r="Q11" s="223">
        <f>SUM(Q4:Q10)</f>
        <v>4142226.5822819285</v>
      </c>
      <c r="S11" s="223">
        <f>SUM(S4:S10)</f>
        <v>4245782.2468389766</v>
      </c>
      <c r="U11" s="223">
        <f>SUM(U4:U10)</f>
        <v>4351926.8030099496</v>
      </c>
      <c r="W11" s="223">
        <f>SUM(W4:W10)</f>
        <v>4460724.9730851995</v>
      </c>
      <c r="Y11" s="223">
        <f>SUM(Y4:Y10)</f>
        <v>4572243.0974123292</v>
      </c>
      <c r="AA11" s="223">
        <f>SUM(AA4:AA10)</f>
        <v>4686549.1748476364</v>
      </c>
      <c r="AC11" s="223">
        <f>SUM(AC4:AC10)</f>
        <v>4803712.9042188283</v>
      </c>
      <c r="AE11" s="223">
        <f>SUM(AE4:AE10)</f>
        <v>4923805.7268242985</v>
      </c>
      <c r="AG11" s="223">
        <f>SUM(AG4:AG10)</f>
        <v>5046900.8699949048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47400</v>
      </c>
      <c r="G15" s="219">
        <f>E15*$C$14</f>
        <v>49058.999999999993</v>
      </c>
      <c r="I15" s="219">
        <f>G15*$C$14</f>
        <v>50776.064999999988</v>
      </c>
      <c r="K15" s="219">
        <f>I15*$C$14</f>
        <v>52553.227274999983</v>
      </c>
      <c r="M15" s="219">
        <f>K15*$C$14</f>
        <v>54392.590229624977</v>
      </c>
      <c r="O15" s="219">
        <f>M15*$C$14</f>
        <v>56296.330887661847</v>
      </c>
      <c r="Q15" s="219">
        <f>O15*$C$14</f>
        <v>58266.702468730007</v>
      </c>
      <c r="S15" s="219">
        <f>Q15*$C$14</f>
        <v>60306.037055135552</v>
      </c>
      <c r="U15" s="219">
        <f>S15*$C$14</f>
        <v>62416.74835206529</v>
      </c>
      <c r="W15" s="219">
        <f>U15*$C$14</f>
        <v>64601.334544387573</v>
      </c>
      <c r="Y15" s="219">
        <f>W15*$C$14</f>
        <v>66862.381253441126</v>
      </c>
      <c r="AA15" s="219">
        <f>Y15*$C$14</f>
        <v>69202.564597311561</v>
      </c>
      <c r="AC15" s="219">
        <f>AA15*$C$14</f>
        <v>71624.654358217464</v>
      </c>
      <c r="AE15" s="219">
        <f>AC15*$C$14</f>
        <v>74131.517260755063</v>
      </c>
      <c r="AG15" s="219">
        <f>AE15*$C$14</f>
        <v>76726.120364881484</v>
      </c>
    </row>
    <row r="16" spans="1:34" s="210" customFormat="1" ht="14.25">
      <c r="A16" s="210" t="s">
        <v>344</v>
      </c>
      <c r="C16" s="233"/>
      <c r="E16" s="222">
        <f>Application!W849</f>
        <v>132720</v>
      </c>
      <c r="F16" s="222"/>
      <c r="G16" s="222">
        <f t="shared" ref="G16:AG21" si="0">E16*$C$14</f>
        <v>137365.19999999998</v>
      </c>
      <c r="H16" s="222"/>
      <c r="I16" s="222">
        <f t="shared" si="0"/>
        <v>142172.98199999996</v>
      </c>
      <c r="J16" s="222"/>
      <c r="K16" s="222">
        <f t="shared" si="0"/>
        <v>147149.03636999996</v>
      </c>
      <c r="L16" s="222"/>
      <c r="M16" s="222">
        <f t="shared" si="0"/>
        <v>152299.25264294996</v>
      </c>
      <c r="N16" s="222"/>
      <c r="O16" s="222">
        <f t="shared" si="0"/>
        <v>157629.7264854532</v>
      </c>
      <c r="P16" s="222"/>
      <c r="Q16" s="222">
        <f t="shared" si="0"/>
        <v>163146.76691244406</v>
      </c>
      <c r="R16" s="222"/>
      <c r="S16" s="222">
        <f t="shared" si="0"/>
        <v>168856.9037543796</v>
      </c>
      <c r="T16" s="222"/>
      <c r="U16" s="222">
        <f t="shared" si="0"/>
        <v>174766.89538578287</v>
      </c>
      <c r="V16" s="222"/>
      <c r="W16" s="222">
        <f t="shared" si="0"/>
        <v>180883.73672428526</v>
      </c>
      <c r="X16" s="222"/>
      <c r="Y16" s="222">
        <f t="shared" si="0"/>
        <v>187214.66750963524</v>
      </c>
      <c r="Z16" s="222"/>
      <c r="AA16" s="222">
        <f t="shared" si="0"/>
        <v>193767.18087247247</v>
      </c>
      <c r="AB16" s="222"/>
      <c r="AC16" s="222">
        <f t="shared" si="0"/>
        <v>200549.032203009</v>
      </c>
      <c r="AD16" s="222"/>
      <c r="AE16" s="222">
        <f t="shared" si="0"/>
        <v>207568.24833011429</v>
      </c>
      <c r="AF16" s="222"/>
      <c r="AG16" s="222">
        <f t="shared" si="0"/>
        <v>214833.13702166828</v>
      </c>
    </row>
    <row r="17" spans="1:33" s="210" customFormat="1" ht="14.25">
      <c r="A17" s="210" t="s">
        <v>562</v>
      </c>
      <c r="C17" s="233"/>
      <c r="E17" s="222">
        <f>Application!W855</f>
        <v>227500</v>
      </c>
      <c r="F17" s="222"/>
      <c r="G17" s="222">
        <f t="shared" si="0"/>
        <v>235462.49999999997</v>
      </c>
      <c r="H17" s="222"/>
      <c r="I17" s="222">
        <f t="shared" si="0"/>
        <v>243703.68749999994</v>
      </c>
      <c r="J17" s="222"/>
      <c r="K17" s="222">
        <f t="shared" si="0"/>
        <v>252233.31656249991</v>
      </c>
      <c r="L17" s="222"/>
      <c r="M17" s="222">
        <f t="shared" si="0"/>
        <v>261061.48264218739</v>
      </c>
      <c r="N17" s="222"/>
      <c r="O17" s="222">
        <f t="shared" si="0"/>
        <v>270198.63453466393</v>
      </c>
      <c r="P17" s="222"/>
      <c r="Q17" s="222">
        <f t="shared" si="0"/>
        <v>279655.58674337715</v>
      </c>
      <c r="R17" s="222"/>
      <c r="S17" s="222">
        <f t="shared" si="0"/>
        <v>289443.53227939532</v>
      </c>
      <c r="T17" s="222"/>
      <c r="U17" s="222">
        <f t="shared" si="0"/>
        <v>299574.05590917415</v>
      </c>
      <c r="V17" s="222"/>
      <c r="W17" s="222">
        <f t="shared" si="0"/>
        <v>310059.14786599524</v>
      </c>
      <c r="X17" s="222"/>
      <c r="Y17" s="222">
        <f t="shared" si="0"/>
        <v>320911.21804130502</v>
      </c>
      <c r="Z17" s="222"/>
      <c r="AA17" s="222">
        <f t="shared" si="0"/>
        <v>332143.11067275068</v>
      </c>
      <c r="AB17" s="222"/>
      <c r="AC17" s="222">
        <f t="shared" si="0"/>
        <v>343768.11954629695</v>
      </c>
      <c r="AD17" s="222"/>
      <c r="AE17" s="222">
        <f t="shared" si="0"/>
        <v>355800.00373041729</v>
      </c>
      <c r="AF17" s="222"/>
      <c r="AG17" s="222">
        <f t="shared" si="0"/>
        <v>368253.00386098184</v>
      </c>
    </row>
    <row r="18" spans="1:33" s="210" customFormat="1" ht="14.25">
      <c r="A18" s="210" t="s">
        <v>843</v>
      </c>
      <c r="C18" s="233"/>
      <c r="E18" s="222">
        <f>Application!W862</f>
        <v>180480</v>
      </c>
      <c r="F18" s="222"/>
      <c r="G18" s="222">
        <f t="shared" si="0"/>
        <v>186796.79999999999</v>
      </c>
      <c r="H18" s="222"/>
      <c r="I18" s="222">
        <f t="shared" si="0"/>
        <v>193334.68799999997</v>
      </c>
      <c r="J18" s="222"/>
      <c r="K18" s="222">
        <f t="shared" si="0"/>
        <v>200101.40207999994</v>
      </c>
      <c r="L18" s="222"/>
      <c r="M18" s="222">
        <f t="shared" si="0"/>
        <v>207104.95115279991</v>
      </c>
      <c r="N18" s="222"/>
      <c r="O18" s="222">
        <f t="shared" si="0"/>
        <v>214353.62444314788</v>
      </c>
      <c r="P18" s="222"/>
      <c r="Q18" s="222">
        <f t="shared" si="0"/>
        <v>221856.00129865806</v>
      </c>
      <c r="R18" s="222"/>
      <c r="S18" s="222">
        <f t="shared" si="0"/>
        <v>229620.96134411107</v>
      </c>
      <c r="T18" s="222"/>
      <c r="U18" s="222">
        <f t="shared" si="0"/>
        <v>237657.69499115495</v>
      </c>
      <c r="V18" s="222"/>
      <c r="W18" s="222">
        <f t="shared" si="0"/>
        <v>245975.71431584534</v>
      </c>
      <c r="X18" s="222"/>
      <c r="Y18" s="222">
        <f t="shared" si="0"/>
        <v>254584.86431689991</v>
      </c>
      <c r="Z18" s="222"/>
      <c r="AA18" s="222">
        <f t="shared" si="0"/>
        <v>263495.33456799138</v>
      </c>
      <c r="AB18" s="222"/>
      <c r="AC18" s="222">
        <f t="shared" si="0"/>
        <v>272717.67127787106</v>
      </c>
      <c r="AD18" s="222"/>
      <c r="AE18" s="222">
        <f t="shared" si="0"/>
        <v>282262.7897725965</v>
      </c>
      <c r="AF18" s="222"/>
      <c r="AG18" s="222">
        <f t="shared" si="0"/>
        <v>292141.98741463735</v>
      </c>
    </row>
    <row r="19" spans="1:33" s="210" customFormat="1" ht="14.25">
      <c r="A19" s="210" t="s">
        <v>155</v>
      </c>
      <c r="C19" s="233"/>
      <c r="E19" s="222">
        <f>Application!W863</f>
        <v>160000</v>
      </c>
      <c r="F19" s="222"/>
      <c r="G19" s="222">
        <f t="shared" si="0"/>
        <v>165600</v>
      </c>
      <c r="H19" s="222"/>
      <c r="I19" s="222">
        <f t="shared" si="0"/>
        <v>171396</v>
      </c>
      <c r="J19" s="222"/>
      <c r="K19" s="222">
        <f t="shared" si="0"/>
        <v>177394.86</v>
      </c>
      <c r="L19" s="222"/>
      <c r="M19" s="222">
        <f t="shared" si="0"/>
        <v>183603.68009999997</v>
      </c>
      <c r="N19" s="222"/>
      <c r="O19" s="222">
        <f t="shared" si="0"/>
        <v>190029.80890349994</v>
      </c>
      <c r="P19" s="222"/>
      <c r="Q19" s="222">
        <f t="shared" si="0"/>
        <v>196680.85221512243</v>
      </c>
      <c r="R19" s="222"/>
      <c r="S19" s="222">
        <f t="shared" si="0"/>
        <v>203564.68204265169</v>
      </c>
      <c r="T19" s="222"/>
      <c r="U19" s="222">
        <f t="shared" si="0"/>
        <v>210689.44591414448</v>
      </c>
      <c r="V19" s="222"/>
      <c r="W19" s="222">
        <f t="shared" si="0"/>
        <v>218063.57652113953</v>
      </c>
      <c r="X19" s="222"/>
      <c r="Y19" s="222">
        <f t="shared" si="0"/>
        <v>225695.8016993794</v>
      </c>
      <c r="Z19" s="222"/>
      <c r="AA19" s="222">
        <f t="shared" si="0"/>
        <v>233595.15475885765</v>
      </c>
      <c r="AB19" s="222"/>
      <c r="AC19" s="222">
        <f t="shared" si="0"/>
        <v>241770.98517541765</v>
      </c>
      <c r="AD19" s="222"/>
      <c r="AE19" s="222">
        <f t="shared" si="0"/>
        <v>250232.96965655725</v>
      </c>
      <c r="AF19" s="222"/>
      <c r="AG19" s="222">
        <f t="shared" si="0"/>
        <v>258991.12359453674</v>
      </c>
    </row>
    <row r="20" spans="1:33" s="210" customFormat="1" ht="14.25">
      <c r="A20" s="210" t="s">
        <v>390</v>
      </c>
      <c r="C20" s="233"/>
      <c r="E20" s="222">
        <f>Application!W872</f>
        <v>95400</v>
      </c>
      <c r="F20" s="222"/>
      <c r="G20" s="222">
        <f t="shared" si="0"/>
        <v>98738.999999999985</v>
      </c>
      <c r="H20" s="222"/>
      <c r="I20" s="222">
        <f t="shared" si="0"/>
        <v>102194.86499999998</v>
      </c>
      <c r="J20" s="222"/>
      <c r="K20" s="222">
        <f t="shared" si="0"/>
        <v>105771.68527499997</v>
      </c>
      <c r="L20" s="222"/>
      <c r="M20" s="222">
        <f t="shared" si="0"/>
        <v>109473.69425962496</v>
      </c>
      <c r="N20" s="222"/>
      <c r="O20" s="222">
        <f t="shared" si="0"/>
        <v>113305.27355871182</v>
      </c>
      <c r="P20" s="222"/>
      <c r="Q20" s="222">
        <f t="shared" si="0"/>
        <v>117270.95813326673</v>
      </c>
      <c r="R20" s="222"/>
      <c r="S20" s="222">
        <f t="shared" si="0"/>
        <v>121375.44166793105</v>
      </c>
      <c r="T20" s="222"/>
      <c r="U20" s="222">
        <f t="shared" si="0"/>
        <v>125623.58212630863</v>
      </c>
      <c r="V20" s="222"/>
      <c r="W20" s="222">
        <f t="shared" si="0"/>
        <v>130020.40750072942</v>
      </c>
      <c r="X20" s="222"/>
      <c r="Y20" s="222">
        <f t="shared" si="0"/>
        <v>134571.12176325492</v>
      </c>
      <c r="Z20" s="222"/>
      <c r="AA20" s="222">
        <f t="shared" si="0"/>
        <v>139281.11102496882</v>
      </c>
      <c r="AB20" s="222"/>
      <c r="AC20" s="222">
        <f t="shared" si="0"/>
        <v>144155.94991084273</v>
      </c>
      <c r="AD20" s="222"/>
      <c r="AE20" s="222">
        <f t="shared" si="0"/>
        <v>149201.40815772221</v>
      </c>
      <c r="AF20" s="222"/>
      <c r="AG20" s="222">
        <f t="shared" si="0"/>
        <v>154423.45744324249</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843500</v>
      </c>
      <c r="G22" s="223">
        <f>SUM(G15:G21)</f>
        <v>873022.5</v>
      </c>
      <c r="I22" s="223">
        <f>SUM(I15:I21)</f>
        <v>903578.28749999986</v>
      </c>
      <c r="K22" s="223">
        <f>SUM(K15:K21)</f>
        <v>935203.52756249974</v>
      </c>
      <c r="M22" s="223">
        <f>SUM(M15:M21)</f>
        <v>967935.65102718712</v>
      </c>
      <c r="O22" s="223">
        <f>SUM(O15:O21)</f>
        <v>1001813.3988131387</v>
      </c>
      <c r="Q22" s="223">
        <f>SUM(Q15:Q21)</f>
        <v>1036876.8677715985</v>
      </c>
      <c r="S22" s="223">
        <f>SUM(S15:S21)</f>
        <v>1073167.5581436043</v>
      </c>
      <c r="U22" s="223">
        <f>SUM(U15:U21)</f>
        <v>1110728.4226786303</v>
      </c>
      <c r="W22" s="223">
        <f>SUM(W15:W21)</f>
        <v>1149603.9174723825</v>
      </c>
      <c r="Y22" s="223">
        <f>SUM(Y15:Y21)</f>
        <v>1189840.0545839157</v>
      </c>
      <c r="AA22" s="223">
        <f>SUM(AA15:AA21)</f>
        <v>1231484.4564943523</v>
      </c>
      <c r="AC22" s="223">
        <f>SUM(AC15:AC21)</f>
        <v>1274586.4124716551</v>
      </c>
      <c r="AE22" s="223">
        <f>SUM(AE15:AE21)</f>
        <v>1319196.9369081627</v>
      </c>
      <c r="AG22" s="223">
        <f>SUM(AG15:AG21)</f>
        <v>1365368.8296999482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31800</v>
      </c>
      <c r="F27" s="222"/>
      <c r="G27" s="222">
        <f>E27*$C$27</f>
        <v>32913</v>
      </c>
      <c r="H27" s="222"/>
      <c r="I27" s="222">
        <f>G27*$C$27</f>
        <v>34064.954999999994</v>
      </c>
      <c r="J27" s="222"/>
      <c r="K27" s="222">
        <f>I27*$C$27</f>
        <v>35257.228424999994</v>
      </c>
      <c r="L27" s="222"/>
      <c r="M27" s="222">
        <f>K27*$C$27</f>
        <v>36491.231419874988</v>
      </c>
      <c r="N27" s="222"/>
      <c r="O27" s="222">
        <f>M27*$C$27</f>
        <v>37768.42451957061</v>
      </c>
      <c r="P27" s="222"/>
      <c r="Q27" s="222">
        <f>O27*$C$27</f>
        <v>39090.319377755579</v>
      </c>
      <c r="R27" s="222"/>
      <c r="S27" s="222">
        <f>Q27*$C$27</f>
        <v>40458.480555977018</v>
      </c>
      <c r="T27" s="222"/>
      <c r="U27" s="222">
        <f>S27*$C$27</f>
        <v>41874.527375436213</v>
      </c>
      <c r="V27" s="222"/>
      <c r="W27" s="222">
        <f>U27*$C$27</f>
        <v>43340.135833576474</v>
      </c>
      <c r="X27" s="222"/>
      <c r="Y27" s="222">
        <f>W27*$C$27</f>
        <v>44857.040587751646</v>
      </c>
      <c r="Z27" s="222"/>
      <c r="AA27" s="222">
        <f>Y27*$C$27</f>
        <v>46427.03700832295</v>
      </c>
      <c r="AB27" s="222"/>
      <c r="AC27" s="222">
        <f>AA27*$C$27</f>
        <v>48051.983303614252</v>
      </c>
      <c r="AD27" s="222"/>
      <c r="AE27" s="222">
        <f>AC27*$C$27</f>
        <v>49733.802719240746</v>
      </c>
      <c r="AF27" s="222"/>
      <c r="AG27" s="222">
        <f>AE27*$C$27</f>
        <v>51474.485814414169</v>
      </c>
    </row>
    <row r="28" spans="1:33" s="210" customFormat="1" ht="14.25">
      <c r="A28" s="210" t="s">
        <v>847</v>
      </c>
      <c r="C28" s="237"/>
      <c r="E28" s="222">
        <f>Application!AC889</f>
        <v>40000</v>
      </c>
      <c r="F28" s="222"/>
      <c r="G28" s="222">
        <f>$E$28</f>
        <v>40000</v>
      </c>
      <c r="H28" s="222"/>
      <c r="I28" s="222">
        <f>$E$28</f>
        <v>40000</v>
      </c>
      <c r="J28" s="222"/>
      <c r="K28" s="222">
        <f>$E$28</f>
        <v>40000</v>
      </c>
      <c r="L28" s="222"/>
      <c r="M28" s="222">
        <f>$E$28</f>
        <v>40000</v>
      </c>
      <c r="N28" s="222"/>
      <c r="O28" s="222">
        <f>$E$28</f>
        <v>40000</v>
      </c>
      <c r="P28" s="222"/>
      <c r="Q28" s="222">
        <f>$E$28</f>
        <v>40000</v>
      </c>
      <c r="R28" s="222"/>
      <c r="S28" s="222">
        <f>$E$28</f>
        <v>40000</v>
      </c>
      <c r="T28" s="222"/>
      <c r="U28" s="222">
        <f>$E$28</f>
        <v>40000</v>
      </c>
      <c r="V28" s="222"/>
      <c r="W28" s="222">
        <f>$E$28</f>
        <v>40000</v>
      </c>
      <c r="X28" s="222"/>
      <c r="Y28" s="222">
        <f>$E$28</f>
        <v>40000</v>
      </c>
      <c r="Z28" s="222"/>
      <c r="AA28" s="222">
        <f>$E$28</f>
        <v>40000</v>
      </c>
      <c r="AB28" s="222"/>
      <c r="AC28" s="222">
        <f>$E$28</f>
        <v>40000</v>
      </c>
      <c r="AD28" s="222"/>
      <c r="AE28" s="222">
        <f>$E$28</f>
        <v>40000</v>
      </c>
      <c r="AF28" s="222"/>
      <c r="AG28" s="222">
        <f>$E$28</f>
        <v>40000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920300</v>
      </c>
      <c r="G35" s="223">
        <f>SUM(G22:G33)</f>
        <v>951035.5</v>
      </c>
      <c r="I35" s="223">
        <f>SUM(I22:I33)</f>
        <v>982845.24249999982</v>
      </c>
      <c r="K35" s="223">
        <f>SUM(K22:K33)</f>
        <v>1015766.7959874998</v>
      </c>
      <c r="M35" s="223">
        <f>SUM(M22:M33)</f>
        <v>1049839.043247062</v>
      </c>
      <c r="O35" s="223">
        <f>SUM(O22:O33)</f>
        <v>1085102.2273487092</v>
      </c>
      <c r="Q35" s="223">
        <f>SUM(Q22:Q33)</f>
        <v>1121597.9992456741</v>
      </c>
      <c r="S35" s="223">
        <f>SUM(S22:S33)</f>
        <v>1159369.4670378277</v>
      </c>
      <c r="U35" s="223">
        <f>SUM(U22:U33)</f>
        <v>1198461.2469590779</v>
      </c>
      <c r="W35" s="223">
        <f>SUM(W22:W33)</f>
        <v>1238919.5161490706</v>
      </c>
      <c r="Y35" s="223">
        <f>SUM(Y22:Y33)</f>
        <v>1280792.0672716412</v>
      </c>
      <c r="AA35" s="223">
        <f>SUM(AA22:AA33)</f>
        <v>1324128.3650446485</v>
      </c>
      <c r="AC35" s="223">
        <f>SUM(AC22:AC33)</f>
        <v>1368979.6047480819</v>
      </c>
      <c r="AE35" s="223">
        <f>SUM(AE22:AE33)</f>
        <v>1415398.7727796724</v>
      </c>
      <c r="AG35" s="223">
        <f>SUM(AG22:AG33)</f>
        <v>1463440.7093296768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2651529</v>
      </c>
      <c r="G37" s="223">
        <f>G11-G35</f>
        <v>2710089.2249999996</v>
      </c>
      <c r="I37" s="223">
        <f>I11-I35</f>
        <v>2769807.6006249995</v>
      </c>
      <c r="K37" s="223">
        <f>K11-K35</f>
        <v>2830702.3682156242</v>
      </c>
      <c r="M37" s="223">
        <f>M11-M35</f>
        <v>2892791.85006114</v>
      </c>
      <c r="O37" s="223">
        <f>O11-O35</f>
        <v>2956094.438292197</v>
      </c>
      <c r="Q37" s="223">
        <f>Q11-Q35</f>
        <v>3020628.5830362542</v>
      </c>
      <c r="S37" s="223">
        <f>S11-S35</f>
        <v>3086412.7798011489</v>
      </c>
      <c r="U37" s="223">
        <f>U11-U35</f>
        <v>3153465.5560508715</v>
      </c>
      <c r="W37" s="223">
        <f>W11-W35</f>
        <v>3221805.4569361289</v>
      </c>
      <c r="Y37" s="223">
        <f>Y11-Y35</f>
        <v>3291451.0301406877</v>
      </c>
      <c r="AA37" s="223">
        <f>AA11-AA35</f>
        <v>3362420.8098029876</v>
      </c>
      <c r="AC37" s="223">
        <f>AC11-AC35</f>
        <v>3434733.2994707464</v>
      </c>
      <c r="AE37" s="223">
        <f>AE11-AE35</f>
        <v>3508406.9540446261</v>
      </c>
      <c r="AG37" s="223">
        <f>AG11-AG35</f>
        <v>3583460.160665228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Tax Exempt Permanent Loan</v>
      </c>
      <c r="B40" s="226"/>
      <c r="C40" s="220"/>
      <c r="E40" s="222">
        <f>Application!AF627</f>
        <v>2305793</v>
      </c>
      <c r="F40" s="222"/>
      <c r="G40" s="222">
        <f>$E$40</f>
        <v>2305793</v>
      </c>
      <c r="H40" s="222"/>
      <c r="I40" s="222">
        <f>$E$40</f>
        <v>2305793</v>
      </c>
      <c r="J40" s="222"/>
      <c r="K40" s="222">
        <f>$E$40</f>
        <v>2305793</v>
      </c>
      <c r="L40" s="222"/>
      <c r="M40" s="222">
        <f>$E$40</f>
        <v>2305793</v>
      </c>
      <c r="N40" s="222"/>
      <c r="O40" s="222">
        <f>$E$40</f>
        <v>2305793</v>
      </c>
      <c r="P40" s="222"/>
      <c r="Q40" s="222">
        <f>$E$40</f>
        <v>2305793</v>
      </c>
      <c r="R40" s="222"/>
      <c r="S40" s="222">
        <f>$E$40</f>
        <v>2305793</v>
      </c>
      <c r="T40" s="222"/>
      <c r="U40" s="222">
        <f>$E$40</f>
        <v>2305793</v>
      </c>
      <c r="V40" s="222"/>
      <c r="W40" s="222">
        <f>$E$40</f>
        <v>2305793</v>
      </c>
      <c r="X40" s="222"/>
      <c r="Y40" s="222">
        <f>$E$40</f>
        <v>2305793</v>
      </c>
      <c r="Z40" s="222"/>
      <c r="AA40" s="222">
        <f>$E$40</f>
        <v>2305793</v>
      </c>
      <c r="AB40" s="222"/>
      <c r="AC40" s="222">
        <f>$E$40</f>
        <v>2305793</v>
      </c>
      <c r="AD40" s="222"/>
      <c r="AE40" s="222">
        <f>$E$40</f>
        <v>2305793</v>
      </c>
      <c r="AF40" s="222"/>
      <c r="AG40" s="222">
        <f>$E$40</f>
        <v>2305793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2305793</v>
      </c>
      <c r="G43" s="223">
        <f>SUM(G40:G42)</f>
        <v>2305793</v>
      </c>
      <c r="I43" s="223">
        <f>SUM(I40:I42)</f>
        <v>2305793</v>
      </c>
      <c r="K43" s="223">
        <f>SUM(K40:K42)</f>
        <v>2305793</v>
      </c>
      <c r="M43" s="223">
        <f>SUM(M40:M42)</f>
        <v>2305793</v>
      </c>
      <c r="O43" s="223">
        <f>SUM(O40:O42)</f>
        <v>2305793</v>
      </c>
      <c r="Q43" s="223">
        <f>SUM(Q40:Q42)</f>
        <v>2305793</v>
      </c>
      <c r="S43" s="223">
        <f>SUM(S40:S42)</f>
        <v>2305793</v>
      </c>
      <c r="U43" s="223">
        <f>SUM(U40:U42)</f>
        <v>2305793</v>
      </c>
      <c r="W43" s="223">
        <f>SUM(W40:W42)</f>
        <v>2305793</v>
      </c>
      <c r="Y43" s="223">
        <f>SUM(Y40:Y42)</f>
        <v>2305793</v>
      </c>
      <c r="AA43" s="223">
        <f>SUM(AA40:AA42)</f>
        <v>2305793</v>
      </c>
      <c r="AC43" s="223">
        <f>SUM(AC40:AC42)</f>
        <v>2305793</v>
      </c>
      <c r="AE43" s="223">
        <f>SUM(AE40:AE42)</f>
        <v>2305793</v>
      </c>
      <c r="AG43" s="223">
        <f>SUM(AG40:AG42)</f>
        <v>2305793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345736</v>
      </c>
      <c r="G45" s="223">
        <f>G37-G43</f>
        <v>404296.22499999963</v>
      </c>
      <c r="I45" s="223">
        <f>I37-I43</f>
        <v>464014.6006249995</v>
      </c>
      <c r="K45" s="223">
        <f>K37-K43</f>
        <v>524909.36821562424</v>
      </c>
      <c r="M45" s="223">
        <f>M37-M43</f>
        <v>586998.85006114002</v>
      </c>
      <c r="O45" s="223">
        <f>O37-O43</f>
        <v>650301.43829219695</v>
      </c>
      <c r="Q45" s="223">
        <f>Q37-Q43</f>
        <v>714835.58303625416</v>
      </c>
      <c r="S45" s="223">
        <f>S37-S43</f>
        <v>780619.77980114892</v>
      </c>
      <c r="U45" s="223">
        <f>U37-U43</f>
        <v>847672.5560508715</v>
      </c>
      <c r="W45" s="223">
        <f>W37-W43</f>
        <v>916012.4569361289</v>
      </c>
      <c r="Y45" s="223">
        <f>Y37-Y43</f>
        <v>985658.03014068771</v>
      </c>
      <c r="AA45" s="223">
        <f>AA37-AA43</f>
        <v>1056627.8098029876</v>
      </c>
      <c r="AC45" s="223">
        <f>AC37-AC43</f>
        <v>1128940.2994707464</v>
      </c>
      <c r="AE45" s="223">
        <f>AE37-AE43</f>
        <v>1202613.9540446261</v>
      </c>
      <c r="AG45" s="223">
        <f>AG37-AG43</f>
        <v>1277667.160665228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9.1955465953157331E-2</v>
      </c>
      <c r="G47" s="227">
        <f>G45/(G4+G6+G8)</f>
        <v>0.10490803853998711</v>
      </c>
      <c r="I47" s="227">
        <f>I45/(I4+I6+I8)</f>
        <v>0.11746726623043138</v>
      </c>
      <c r="K47" s="227">
        <f>K45/(K4+K6+K8)</f>
        <v>0.12964198555018225</v>
      </c>
      <c r="M47" s="227">
        <f>M45/(M4+M6+M8)</f>
        <v>0.14144081012112403</v>
      </c>
      <c r="O47" s="227">
        <f>O45/(O4+O6+O8)</f>
        <v>0.15287213602597843</v>
      </c>
      <c r="Q47" s="227">
        <f>Q45/(Q4+Q6+Q8)</f>
        <v>0.16394414704140414</v>
      </c>
      <c r="S47" s="227">
        <f>S45/(S4+S6+S8)</f>
        <v>0.17466481974274847</v>
      </c>
      <c r="U47" s="227">
        <f>U45/(U4+U6+U8)</f>
        <v>0.18504192848357673</v>
      </c>
      <c r="W47" s="227">
        <f>W45/(W4+W6+W8)</f>
        <v>0.19508305025302924</v>
      </c>
      <c r="Y47" s="227">
        <f>Y45/(Y4+Y6+Y8)</f>
        <v>0.20479556941397034</v>
      </c>
      <c r="AA47" s="227">
        <f>AA45/(AA4+AA6+AA8)</f>
        <v>0.21418668232484139</v>
      </c>
      <c r="AC47" s="227">
        <f>AC45/(AC4+AC6+AC8)</f>
        <v>0.22326340184803703</v>
      </c>
      <c r="AE47" s="227">
        <f>AE45/(AE4+AE6+AE8)</f>
        <v>0.23203256174756939</v>
      </c>
      <c r="AG47" s="227">
        <f>AG45/(AG4+AG6+AG8)</f>
        <v>0.24050082097871522</v>
      </c>
    </row>
    <row r="48" spans="1:33" s="227" customFormat="1" ht="14.25">
      <c r="A48" s="227" t="s">
        <v>853</v>
      </c>
      <c r="C48" s="220"/>
      <c r="E48" s="227">
        <f>E45/E43</f>
        <v>0.14994234087795391</v>
      </c>
      <c r="G48" s="227">
        <f>G45/G43</f>
        <v>0.17533934095558432</v>
      </c>
      <c r="I48" s="227">
        <f>I45/I43</f>
        <v>0.20123861969613036</v>
      </c>
      <c r="K48" s="227">
        <f>K45/K43</f>
        <v>0.22764808819162183</v>
      </c>
      <c r="M48" s="227">
        <f>M45/M43</f>
        <v>0.2545756926407271</v>
      </c>
      <c r="O48" s="227">
        <f>O45/O43</f>
        <v>0.28202940953164352</v>
      </c>
      <c r="Q48" s="227">
        <f>Q45/Q43</f>
        <v>0.31001724050522061</v>
      </c>
      <c r="S48" s="227">
        <f>S45/S43</f>
        <v>0.33854720688333639</v>
      </c>
      <c r="U48" s="227">
        <f>U45/U43</f>
        <v>0.36762734384694179</v>
      </c>
      <c r="W48" s="227">
        <f>W45/W43</f>
        <v>0.39726569424754471</v>
      </c>
      <c r="Y48" s="227">
        <f>Y45/Y43</f>
        <v>0.42747030203521641</v>
      </c>
      <c r="AA48" s="227">
        <f>AA45/AA43</f>
        <v>0.45824920528555146</v>
      </c>
      <c r="AC48" s="227">
        <f>AC45/AC43</f>
        <v>0.48961042880724609</v>
      </c>
      <c r="AE48" s="227">
        <f>AE45/AE43</f>
        <v>0.52156197631124135</v>
      </c>
      <c r="AG48" s="227">
        <f>AG45/AG43</f>
        <v>0.55411182212159893</v>
      </c>
    </row>
    <row r="49" spans="1:34" s="228" customFormat="1" ht="14.25">
      <c r="A49" s="228" t="s">
        <v>851</v>
      </c>
      <c r="C49" s="229"/>
      <c r="E49" s="228">
        <f>E37/E43</f>
        <v>1.1499423408779539</v>
      </c>
      <c r="G49" s="228">
        <f>G37/G43</f>
        <v>1.1753393409555843</v>
      </c>
      <c r="I49" s="228">
        <f>I37/I43</f>
        <v>1.2012386196961304</v>
      </c>
      <c r="K49" s="228">
        <f>K37/K43</f>
        <v>1.2276480881916219</v>
      </c>
      <c r="M49" s="228">
        <f>M37/M43</f>
        <v>1.254575692640727</v>
      </c>
      <c r="O49" s="228">
        <f>O37/O43</f>
        <v>1.2820294095316436</v>
      </c>
      <c r="Q49" s="228">
        <f>Q37/Q43</f>
        <v>1.3100172405052206</v>
      </c>
      <c r="S49" s="228">
        <f>S37/S43</f>
        <v>1.3385472068833364</v>
      </c>
      <c r="U49" s="228">
        <f>U37/U43</f>
        <v>1.3676273438469417</v>
      </c>
      <c r="W49" s="228">
        <f>W37/W43</f>
        <v>1.3972656942475448</v>
      </c>
      <c r="Y49" s="228">
        <f>Y37/Y43</f>
        <v>1.4274703020352164</v>
      </c>
      <c r="AA49" s="228">
        <f>AA37/AA43</f>
        <v>1.4582492052855516</v>
      </c>
      <c r="AC49" s="228">
        <f>AC37/AC43</f>
        <v>1.489610428807246</v>
      </c>
      <c r="AE49" s="228">
        <f>AE37/AE43</f>
        <v>1.5215619763112413</v>
      </c>
      <c r="AG49" s="228">
        <f>AG37/AG43</f>
        <v>1.554111822121599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1185</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313236</v>
      </c>
      <c r="G60" s="962">
        <f>G45-G58</f>
        <v>370821.22499999963</v>
      </c>
      <c r="I60" s="962">
        <f>I45-I58</f>
        <v>429535.3506249995</v>
      </c>
      <c r="K60" s="962">
        <f>K45-K58</f>
        <v>489395.74071562424</v>
      </c>
      <c r="M60" s="962">
        <f>M45-M58</f>
        <v>550419.81373614003</v>
      </c>
      <c r="O60" s="962">
        <f>O45-O58</f>
        <v>612625.03087744699</v>
      </c>
      <c r="Q60" s="962">
        <f>Q45-Q58</f>
        <v>676028.88339906163</v>
      </c>
      <c r="S60" s="962">
        <f>S45-S58</f>
        <v>740648.87917484064</v>
      </c>
      <c r="U60" s="962">
        <f>U45-U58</f>
        <v>806502.52840577392</v>
      </c>
      <c r="W60" s="962">
        <f>W45-W58</f>
        <v>873607.32846167847</v>
      </c>
      <c r="Y60" s="962">
        <f>Y45-Y58</f>
        <v>941980.74781200371</v>
      </c>
      <c r="AA60" s="962">
        <f>AA45-AA58</f>
        <v>1011640.2090044431</v>
      </c>
      <c r="AC60" s="962">
        <f>AC45-AC58</f>
        <v>1082603.0706482455</v>
      </c>
      <c r="AE60" s="962">
        <f>AE45-AE58</f>
        <v>1154886.6083574502</v>
      </c>
      <c r="AG60" s="962">
        <f>AG45-AG58</f>
        <v>1228507.9946074369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313236</v>
      </c>
      <c r="G62" s="962">
        <f>G60*$C$62</f>
        <v>370821.22499999963</v>
      </c>
      <c r="I62" s="962">
        <f>I60*$C$62</f>
        <v>429535.3506249995</v>
      </c>
      <c r="K62" s="962">
        <f>K60*$C$62</f>
        <v>489395.74071562424</v>
      </c>
      <c r="M62" s="962">
        <f>M60*$C$62</f>
        <v>550419.81373614003</v>
      </c>
      <c r="O62" s="962">
        <f>O60*$C$62</f>
        <v>612625.03087744699</v>
      </c>
      <c r="Q62" s="962">
        <f>Q60*$C$62</f>
        <v>676028.88339906163</v>
      </c>
      <c r="S62" s="962">
        <f>S60*$C$62</f>
        <v>740648.87917484064</v>
      </c>
      <c r="U62" s="962">
        <f>U60*$C$62</f>
        <v>806502.52840577392</v>
      </c>
      <c r="W62" s="962">
        <f>W60*$C$62</f>
        <v>873607.32846167847</v>
      </c>
      <c r="Y62" s="962">
        <f>Y60*$C$62</f>
        <v>941980.74781200371</v>
      </c>
      <c r="AA62" s="962">
        <f>AA60*$C$62</f>
        <v>1011640.2090044431</v>
      </c>
      <c r="AC62" s="962">
        <f>AC60*$C$62</f>
        <v>1082603.0706482455</v>
      </c>
      <c r="AE62" s="962">
        <f>AE60*$C$62</f>
        <v>1154886.6083574502</v>
      </c>
      <c r="AG62" s="962">
        <f>AG60*$C$62</f>
        <v>1228507.9946074369</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3500000</v>
      </c>
      <c r="C5" s="266">
        <f>'Sources and Uses Budget'!$C4</f>
        <v>3500000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3500000</v>
      </c>
      <c r="C9" s="270">
        <f>SUM(C5:C8)</f>
        <v>3500000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3500000</v>
      </c>
      <c r="C13" s="270">
        <f>SUM(C9+C12)</f>
        <v>3500000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1563337</v>
      </c>
      <c r="C30" s="266">
        <f>'Sources and Uses Budget'!$C29</f>
        <v>1563337</v>
      </c>
      <c r="D30" s="270">
        <f t="shared" si="0"/>
        <v>0</v>
      </c>
      <c r="E30" s="268"/>
      <c r="F30" s="267"/>
    </row>
    <row r="31" spans="1:6" s="352" customFormat="1">
      <c r="A31" s="145" t="s">
        <v>600</v>
      </c>
      <c r="B31" s="266">
        <f>'Sources and Uses Budget'!$C30</f>
        <v>48337344</v>
      </c>
      <c r="C31" s="266">
        <f>'Sources and Uses Budget'!$C30</f>
        <v>48337344</v>
      </c>
      <c r="D31" s="270">
        <f t="shared" si="0"/>
        <v>0</v>
      </c>
      <c r="E31" s="268"/>
      <c r="F31" s="267"/>
    </row>
    <row r="32" spans="1:6" s="352" customFormat="1">
      <c r="A32" s="145" t="s">
        <v>601</v>
      </c>
      <c r="B32" s="266">
        <f>'Sources and Uses Budget'!$C31</f>
        <v>634172</v>
      </c>
      <c r="C32" s="266">
        <f>'Sources and Uses Budget'!$C31</f>
        <v>634172</v>
      </c>
      <c r="D32" s="270">
        <f t="shared" si="0"/>
        <v>0</v>
      </c>
      <c r="E32" s="268"/>
      <c r="F32" s="267"/>
    </row>
    <row r="33" spans="1:6" s="352" customFormat="1">
      <c r="A33" s="145" t="s">
        <v>137</v>
      </c>
      <c r="B33" s="266">
        <f>'Sources and Uses Budget'!$C32</f>
        <v>2339792</v>
      </c>
      <c r="C33" s="266">
        <f>'Sources and Uses Budget'!$C32</f>
        <v>2339792</v>
      </c>
      <c r="D33" s="270">
        <f t="shared" si="0"/>
        <v>0</v>
      </c>
      <c r="E33" s="268"/>
      <c r="F33" s="267"/>
    </row>
    <row r="34" spans="1:6" s="352" customFormat="1">
      <c r="A34" s="145" t="s">
        <v>138</v>
      </c>
      <c r="B34" s="266">
        <f>'Sources and Uses Budget'!$C33</f>
        <v>2362678</v>
      </c>
      <c r="C34" s="266">
        <f>'Sources and Uses Budget'!$C33</f>
        <v>2362678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393000</v>
      </c>
      <c r="C36" s="266">
        <f>'Sources and Uses Budget'!$C35</f>
        <v>393000</v>
      </c>
      <c r="D36" s="270">
        <f t="shared" si="0"/>
        <v>0</v>
      </c>
      <c r="E36" s="268"/>
      <c r="F36" s="267"/>
    </row>
    <row r="37" spans="1:6" s="352" customFormat="1">
      <c r="A37" s="283" t="s">
        <v>1641</v>
      </c>
      <c r="B37" s="266">
        <f>'Sources and Uses Budget'!$C36</f>
        <v>1300000</v>
      </c>
      <c r="C37" s="266">
        <f>'Sources and Uses Budget'!$C36</f>
        <v>1300000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56930323</v>
      </c>
      <c r="C39" s="270">
        <f>SUM(C30:C38)</f>
        <v>56930323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1650000</v>
      </c>
      <c r="C43" s="270">
        <f>SUM(C41:C42)</f>
        <v>1650000</v>
      </c>
      <c r="D43" s="270">
        <f t="shared" si="0"/>
        <v>0</v>
      </c>
      <c r="E43" s="268"/>
      <c r="F43" s="267"/>
    </row>
    <row r="44" spans="1:6" s="352" customFormat="1">
      <c r="A44" s="271" t="s">
        <v>148</v>
      </c>
      <c r="B44" s="266">
        <f>'Sources and Uses Budget'!$C43</f>
        <v>1750000</v>
      </c>
      <c r="C44" s="266">
        <f>'Sources and Uses Budget'!$C43</f>
        <v>1750000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8033500</v>
      </c>
      <c r="C46" s="266">
        <f>'Sources and Uses Budget'!$C45</f>
        <v>8033500</v>
      </c>
      <c r="D46" s="270">
        <f t="shared" si="0"/>
        <v>0</v>
      </c>
      <c r="E46" s="268"/>
      <c r="F46" s="267"/>
    </row>
    <row r="47" spans="1:6" s="352" customFormat="1">
      <c r="A47" s="145" t="s">
        <v>151</v>
      </c>
      <c r="B47" s="266">
        <f>'Sources and Uses Budget'!$C46</f>
        <v>710000</v>
      </c>
      <c r="C47" s="266">
        <f>'Sources and Uses Budget'!$C46</f>
        <v>710000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462000</v>
      </c>
      <c r="C50" s="266">
        <f>'Sources and Uses Budget'!$C49</f>
        <v>462000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1200000</v>
      </c>
      <c r="C53" s="266">
        <f>'Sources and Uses Budget'!$C52</f>
        <v>1200000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10505500</v>
      </c>
      <c r="C55" s="273">
        <f>SUM(C46:C54)</f>
        <v>10505500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70000</v>
      </c>
      <c r="C57" s="266">
        <f>'Sources and Uses Budget'!$C56</f>
        <v>70000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70000</v>
      </c>
      <c r="C63" s="270">
        <f>SUM(C57:C62)</f>
        <v>70000</v>
      </c>
      <c r="D63" s="270">
        <f t="shared" si="0"/>
        <v>0</v>
      </c>
      <c r="E63" s="268"/>
      <c r="F63" s="267"/>
    </row>
    <row r="64" spans="1:6" s="352" customFormat="1">
      <c r="A64" s="274" t="s">
        <v>302</v>
      </c>
      <c r="B64" s="270">
        <f>SUM(B9+B12+B14+B15+B17+B26+B28+B39+B43+B44+B55+B63)</f>
        <v>74405823</v>
      </c>
      <c r="C64" s="270">
        <f>SUM(C9+C12+C14+C15+C17+C26+C28+C39+C43+C44+C55+C63)</f>
        <v>74405823</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135000</v>
      </c>
      <c r="C66" s="266">
        <f>'Sources and Uses Budget'!$C65</f>
        <v>135000</v>
      </c>
      <c r="D66" s="270">
        <f t="shared" si="0"/>
        <v>0</v>
      </c>
      <c r="E66" s="268"/>
      <c r="F66" s="267"/>
    </row>
    <row r="67" spans="1:6" s="352" customFormat="1" ht="24">
      <c r="A67" s="283" t="s">
        <v>1642</v>
      </c>
      <c r="B67" s="266">
        <f>'Sources and Uses Budget'!$C66</f>
        <v>100000</v>
      </c>
      <c r="C67" s="266">
        <f>'Sources and Uses Budget'!$C66</f>
        <v>100000</v>
      </c>
      <c r="D67" s="270"/>
      <c r="E67" s="268"/>
      <c r="F67" s="267"/>
    </row>
    <row r="68" spans="1:6" s="352" customFormat="1" ht="24">
      <c r="A68" s="283" t="s">
        <v>1643</v>
      </c>
      <c r="B68" s="266">
        <f>'Sources and Uses Budget'!$C67</f>
        <v>4250000</v>
      </c>
      <c r="C68" s="266">
        <f>'Sources and Uses Budget'!$C67</f>
        <v>4250000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Transaction Legal</v>
      </c>
      <c r="B70" s="266">
        <f>'Sources and Uses Budget'!$C69</f>
        <v>120000</v>
      </c>
      <c r="C70" s="266">
        <f>'Sources and Uses Budget'!$C69</f>
        <v>120000</v>
      </c>
      <c r="D70" s="270">
        <f t="shared" si="0"/>
        <v>0</v>
      </c>
      <c r="E70" s="268"/>
      <c r="F70" s="267"/>
    </row>
    <row r="71" spans="1:6" s="352" customFormat="1">
      <c r="A71" s="149" t="s">
        <v>1646</v>
      </c>
      <c r="B71" s="270">
        <f>SUM(B66:B70)</f>
        <v>4605000</v>
      </c>
      <c r="C71" s="270">
        <f>SUM(C66:C70)</f>
        <v>4605000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800000</v>
      </c>
      <c r="C76" s="266">
        <f>'Sources and Uses Budget'!$C75</f>
        <v>800000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800000</v>
      </c>
      <c r="C78" s="270">
        <f>SUM(C73:C77)</f>
        <v>800000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3629000</v>
      </c>
      <c r="C80" s="266">
        <f>'Sources and Uses Budget'!$C79</f>
        <v>3629000</v>
      </c>
      <c r="D80" s="270">
        <f t="shared" si="1"/>
        <v>0</v>
      </c>
      <c r="E80" s="268"/>
      <c r="F80" s="267"/>
    </row>
    <row r="81" spans="1:6" s="352" customFormat="1">
      <c r="A81" s="510" t="s">
        <v>58</v>
      </c>
      <c r="B81" s="266">
        <f>'Sources and Uses Budget'!$C80</f>
        <v>966500</v>
      </c>
      <c r="C81" s="266">
        <f>'Sources and Uses Budget'!$C80</f>
        <v>966500</v>
      </c>
      <c r="D81" s="270">
        <f>C81-B81</f>
        <v>0</v>
      </c>
      <c r="E81" s="268"/>
      <c r="F81" s="267"/>
    </row>
    <row r="82" spans="1:6" s="352" customFormat="1">
      <c r="A82" s="271" t="s">
        <v>1210</v>
      </c>
      <c r="B82" s="270">
        <f>SUM(B80:B81)</f>
        <v>4595500</v>
      </c>
      <c r="C82" s="270">
        <f>SUM(C80:C81)</f>
        <v>4595500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0</v>
      </c>
      <c r="C84" s="266">
        <f>'Sources and Uses Budget'!$C83</f>
        <v>0</v>
      </c>
      <c r="D84" s="270">
        <f t="shared" si="1"/>
        <v>0</v>
      </c>
      <c r="E84" s="268"/>
      <c r="F84" s="267"/>
    </row>
    <row r="85" spans="1:6" s="352" customFormat="1">
      <c r="A85" s="269" t="s">
        <v>768</v>
      </c>
      <c r="B85" s="266">
        <f>'Sources and Uses Budget'!$C84</f>
        <v>50000</v>
      </c>
      <c r="C85" s="266">
        <f>'Sources and Uses Budget'!$C84</f>
        <v>50000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1077677</v>
      </c>
      <c r="C87" s="266">
        <f>'Sources and Uses Budget'!$C86</f>
        <v>1077677</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350000</v>
      </c>
      <c r="C90" s="266">
        <f>'Sources and Uses Budget'!$C89</f>
        <v>350000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1542677</v>
      </c>
      <c r="C97" s="270">
        <f>SUM(C84:C96)</f>
        <v>1542677</v>
      </c>
      <c r="D97" s="270">
        <f t="shared" si="1"/>
        <v>0</v>
      </c>
      <c r="E97" s="268"/>
      <c r="F97" s="267"/>
    </row>
    <row r="98" spans="1:6" s="352" customFormat="1">
      <c r="A98" s="271" t="s">
        <v>776</v>
      </c>
      <c r="B98" s="270">
        <f>SUM(B64+B71+B78+B82+B97)</f>
        <v>85949000</v>
      </c>
      <c r="C98" s="270">
        <f>SUM(C64+C71+C78+C82+C97)</f>
        <v>85949000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12000000</v>
      </c>
      <c r="C100" s="266">
        <f>'Sources and Uses Budget'!$C99</f>
        <v>12000000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12000000</v>
      </c>
      <c r="C105" s="270">
        <f>SUM(C100:C104)</f>
        <v>12000000</v>
      </c>
      <c r="D105" s="270">
        <f t="shared" si="1"/>
        <v>0</v>
      </c>
      <c r="E105" s="268"/>
      <c r="F105" s="267"/>
    </row>
    <row r="106" spans="1:6" s="352" customFormat="1">
      <c r="A106" s="271" t="s">
        <v>781</v>
      </c>
      <c r="B106" s="273">
        <f>SUM(B98+B105)</f>
        <v>97949000</v>
      </c>
      <c r="C106" s="273">
        <f>SUM(C98+C105)</f>
        <v>97949000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5" t="s">
        <v>1870</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2048</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1" t="s">
        <v>1875</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1871</v>
      </c>
      <c r="B71" s="1278"/>
      <c r="C71" s="1278"/>
      <c r="D71" s="1278"/>
      <c r="E71" s="1278"/>
      <c r="F71" s="1278"/>
      <c r="G71" s="1278"/>
      <c r="H71" s="1278"/>
      <c r="I71" s="1278"/>
    </row>
    <row r="72" spans="1:9" ht="12.75">
      <c r="A72" s="1270" t="s">
        <v>2046</v>
      </c>
      <c r="B72" s="1270"/>
      <c r="C72" s="1270"/>
      <c r="D72" s="1270"/>
      <c r="E72" s="1270"/>
    </row>
    <row r="73" spans="1:9" ht="12.75">
      <c r="A73" s="1270" t="s">
        <v>2047</v>
      </c>
      <c r="B73" s="1270"/>
      <c r="C73" s="1270"/>
      <c r="D73" s="1270"/>
      <c r="E73" s="1270"/>
    </row>
    <row r="74" spans="1:9" ht="12.75">
      <c r="A74" s="1270" t="s">
        <v>1872</v>
      </c>
      <c r="B74" s="1270"/>
      <c r="C74" s="1270"/>
      <c r="D74" s="1270"/>
      <c r="E74" s="1270"/>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2" t="s">
        <v>2460</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1102</v>
      </c>
      <c r="B9" s="1309"/>
      <c r="C9" s="1309"/>
      <c r="D9" s="1309"/>
      <c r="E9" s="1309"/>
      <c r="F9" s="1309"/>
      <c r="G9" s="1309"/>
      <c r="H9" s="1028"/>
      <c r="I9" s="1029"/>
    </row>
    <row r="10" spans="1:13">
      <c r="A10" s="482"/>
      <c r="B10" s="482"/>
      <c r="E10" s="404"/>
    </row>
    <row r="11" spans="1:13" ht="13.7" customHeight="1">
      <c r="C11" s="482"/>
      <c r="D11" s="1322" t="s">
        <v>1101</v>
      </c>
      <c r="E11" s="1322"/>
      <c r="F11" s="1322"/>
    </row>
    <row r="12" spans="1:13">
      <c r="C12" s="482"/>
      <c r="D12" s="1322"/>
      <c r="E12" s="1322"/>
      <c r="F12" s="1322"/>
    </row>
    <row r="13" spans="1:13">
      <c r="A13" s="483"/>
      <c r="B13" s="483"/>
      <c r="C13" s="483"/>
      <c r="D13" s="1300" t="s">
        <v>1091</v>
      </c>
      <c r="E13" s="1300"/>
      <c r="F13" s="1300"/>
      <c r="M13" s="96"/>
    </row>
    <row r="14" spans="1:13">
      <c r="A14" s="483"/>
      <c r="B14" s="483"/>
      <c r="C14" s="483"/>
      <c r="D14" s="476"/>
      <c r="L14" s="312"/>
    </row>
    <row r="15" spans="1:13" ht="14.25">
      <c r="A15" s="484"/>
      <c r="B15" s="485" t="s">
        <v>307</v>
      </c>
      <c r="C15" s="483"/>
      <c r="D15" s="1302" t="s">
        <v>1923</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1921</v>
      </c>
      <c r="F18" s="445"/>
      <c r="I18" s="490"/>
    </row>
    <row r="19" spans="1:9">
      <c r="A19" s="483"/>
      <c r="B19" s="483"/>
      <c r="C19" s="483"/>
      <c r="I19" s="490"/>
    </row>
    <row r="20" spans="1:9" ht="14.25">
      <c r="A20" s="484"/>
      <c r="B20" s="485" t="s">
        <v>307</v>
      </c>
      <c r="D20" s="1302" t="s">
        <v>1924</v>
      </c>
      <c r="E20" s="1302"/>
      <c r="F20" s="1302"/>
      <c r="I20" s="490"/>
    </row>
    <row r="21" spans="1:9" ht="14.25">
      <c r="A21" s="484"/>
      <c r="D21" s="1302"/>
      <c r="E21" s="1302"/>
      <c r="F21" s="1302"/>
      <c r="I21" s="490"/>
    </row>
    <row r="22" spans="1:9" ht="14.25">
      <c r="A22" s="484"/>
      <c r="D22" s="392"/>
      <c r="E22" s="96" t="s">
        <v>1920</v>
      </c>
      <c r="F22" s="392"/>
      <c r="I22" s="490"/>
    </row>
    <row r="23" spans="1:9" ht="14.25">
      <c r="A23" s="484"/>
      <c r="B23" s="484"/>
      <c r="D23" s="446"/>
      <c r="I23" s="490"/>
    </row>
    <row r="24" spans="1:9" ht="14.25">
      <c r="A24" s="484"/>
      <c r="B24" s="485" t="s">
        <v>307</v>
      </c>
      <c r="D24" s="1302" t="s">
        <v>1092</v>
      </c>
      <c r="E24" s="1302"/>
      <c r="F24" s="1302"/>
      <c r="I24" s="490"/>
    </row>
    <row r="25" spans="1:9" ht="14.25">
      <c r="A25" s="484"/>
      <c r="B25" s="484"/>
      <c r="D25" s="1302"/>
      <c r="E25" s="1302"/>
      <c r="F25" s="1302"/>
      <c r="I25" s="490"/>
    </row>
    <row r="26" spans="1:9">
      <c r="I26" s="490"/>
    </row>
    <row r="27" spans="1:9" ht="14.25">
      <c r="A27" s="484"/>
      <c r="B27" s="485" t="s">
        <v>307</v>
      </c>
      <c r="D27" s="1302" t="s">
        <v>2049</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307</v>
      </c>
      <c r="D33" s="1302" t="s">
        <v>2050</v>
      </c>
      <c r="E33" s="1302"/>
      <c r="F33" s="1302"/>
      <c r="I33" s="490"/>
    </row>
    <row r="34" spans="1:9">
      <c r="D34" s="1302"/>
      <c r="E34" s="1302"/>
      <c r="F34" s="1302"/>
      <c r="I34" s="490"/>
    </row>
    <row r="35" spans="1:9" ht="14.25">
      <c r="A35" s="484"/>
      <c r="B35" s="484"/>
      <c r="D35" s="447"/>
      <c r="I35" s="490"/>
    </row>
    <row r="36" spans="1:9" ht="14.45" customHeight="1">
      <c r="A36" s="484"/>
      <c r="B36" s="485" t="s">
        <v>307</v>
      </c>
      <c r="D36" s="1302" t="s">
        <v>1215</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307</v>
      </c>
      <c r="D41" s="1302" t="s">
        <v>1093</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307</v>
      </c>
      <c r="D47" s="1302" t="s">
        <v>1094</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307</v>
      </c>
      <c r="D52" s="1302" t="s">
        <v>1095</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307</v>
      </c>
      <c r="D56" s="1325" t="s">
        <v>1096</v>
      </c>
      <c r="E56" s="1325"/>
      <c r="F56" s="1325"/>
      <c r="I56" s="490"/>
    </row>
    <row r="57" spans="1:9" ht="14.25">
      <c r="A57" s="484"/>
      <c r="B57" s="484"/>
      <c r="D57" s="1325"/>
      <c r="E57" s="1325"/>
      <c r="F57" s="1325"/>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302" t="s">
        <v>1097</v>
      </c>
      <c r="E61" s="1302"/>
      <c r="F61" s="1302"/>
      <c r="I61" s="490"/>
    </row>
    <row r="62" spans="1:9">
      <c r="D62" s="1302"/>
      <c r="E62" s="1302"/>
      <c r="F62" s="1302"/>
      <c r="I62" s="490"/>
    </row>
    <row r="63" spans="1:9">
      <c r="D63" s="1302"/>
      <c r="E63" s="1302"/>
      <c r="F63" s="1302"/>
      <c r="I63" s="490"/>
    </row>
    <row r="64" spans="1:9">
      <c r="I64" s="490"/>
    </row>
    <row r="65" spans="1:9" ht="14.25">
      <c r="A65" s="484"/>
      <c r="B65" s="485" t="s">
        <v>307</v>
      </c>
      <c r="D65" s="1302" t="s">
        <v>1098</v>
      </c>
      <c r="E65" s="1302"/>
      <c r="F65" s="1302"/>
      <c r="I65" s="490"/>
    </row>
    <row r="66" spans="1:9">
      <c r="D66" s="1302"/>
      <c r="E66" s="1302"/>
      <c r="F66" s="1302"/>
      <c r="I66" s="490"/>
    </row>
    <row r="67" spans="1:9">
      <c r="I67" s="490"/>
    </row>
    <row r="68" spans="1:9" ht="14.25">
      <c r="A68" s="484"/>
      <c r="B68" s="485" t="s">
        <v>307</v>
      </c>
      <c r="D68" s="1302" t="s">
        <v>1099</v>
      </c>
      <c r="E68" s="1302"/>
      <c r="F68" s="1302"/>
      <c r="I68" s="490"/>
    </row>
    <row r="69" spans="1:9">
      <c r="D69" s="1302"/>
      <c r="E69" s="1302"/>
      <c r="F69" s="1302"/>
      <c r="I69" s="490"/>
    </row>
    <row r="70" spans="1:9">
      <c r="D70" s="1302"/>
      <c r="E70" s="1302"/>
      <c r="F70" s="1302"/>
      <c r="I70" s="490"/>
    </row>
    <row r="71" spans="1:9">
      <c r="I71" s="490"/>
    </row>
    <row r="72" spans="1:9" ht="14.25">
      <c r="A72" s="484"/>
      <c r="B72" s="485" t="s">
        <v>307</v>
      </c>
      <c r="D72" s="1302" t="s">
        <v>1100</v>
      </c>
      <c r="E72" s="1302"/>
      <c r="F72" s="1302"/>
      <c r="I72" s="490"/>
    </row>
    <row r="73" spans="1:9">
      <c r="D73" s="1302"/>
      <c r="E73" s="1302"/>
      <c r="F73" s="1302"/>
      <c r="I73" s="490"/>
    </row>
    <row r="74" spans="1:9" ht="14.25">
      <c r="A74" s="484"/>
      <c r="B74" s="484"/>
      <c r="D74" s="446"/>
      <c r="I74" s="490"/>
    </row>
    <row r="75" spans="1:9">
      <c r="A75" s="1309" t="s">
        <v>1045</v>
      </c>
      <c r="B75" s="1309"/>
      <c r="C75" s="1309"/>
      <c r="D75" s="1309"/>
      <c r="E75" s="1309"/>
      <c r="F75" s="1309"/>
      <c r="G75" s="1309"/>
      <c r="H75" s="1028"/>
      <c r="I75" s="1153"/>
    </row>
    <row r="76" spans="1:9">
      <c r="I76" s="490"/>
    </row>
    <row r="77" spans="1:9">
      <c r="C77" s="486"/>
      <c r="D77" s="1318" t="s">
        <v>1103</v>
      </c>
      <c r="E77" s="1318"/>
      <c r="F77" s="1318"/>
      <c r="I77" s="490"/>
    </row>
    <row r="78" spans="1:9">
      <c r="A78" s="446"/>
      <c r="B78" s="446"/>
      <c r="D78" s="1302" t="s">
        <v>1118</v>
      </c>
      <c r="E78" s="1302"/>
      <c r="F78" s="1302"/>
      <c r="I78" s="490"/>
    </row>
    <row r="79" spans="1:9">
      <c r="A79" s="446"/>
      <c r="B79" s="446"/>
      <c r="I79" s="490"/>
    </row>
    <row r="80" spans="1:9" ht="13.7" customHeight="1">
      <c r="A80" s="484"/>
      <c r="B80" s="485" t="s">
        <v>307</v>
      </c>
      <c r="D80" s="1302" t="s">
        <v>1246</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307</v>
      </c>
      <c r="D89" s="1302" t="s">
        <v>1743</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307</v>
      </c>
      <c r="D92" s="1302" t="s">
        <v>1746</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307</v>
      </c>
      <c r="D96" s="1302" t="s">
        <v>1745</v>
      </c>
      <c r="E96" s="1302"/>
      <c r="F96" s="1302"/>
      <c r="I96" s="490"/>
    </row>
    <row r="97" spans="1:9" s="987" customFormat="1" ht="14.25">
      <c r="A97" s="985"/>
      <c r="B97" s="985"/>
      <c r="C97" s="986"/>
      <c r="D97" s="1302"/>
      <c r="E97" s="1302"/>
      <c r="F97" s="1302"/>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302" t="s">
        <v>1744</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307</v>
      </c>
      <c r="D103" s="1302" t="s">
        <v>1195</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307</v>
      </c>
      <c r="D119" s="1324" t="s">
        <v>1104</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307</v>
      </c>
      <c r="C128" s="402"/>
      <c r="D128" s="1324" t="s">
        <v>2051</v>
      </c>
      <c r="E128" s="1324"/>
      <c r="F128" s="1324"/>
      <c r="I128" s="490"/>
    </row>
    <row r="129" spans="1:9" ht="14.25">
      <c r="A129" s="484"/>
      <c r="B129" s="484"/>
      <c r="C129" s="402"/>
      <c r="D129" s="1324"/>
      <c r="E129" s="1324"/>
      <c r="F129" s="1324"/>
      <c r="I129" s="490"/>
    </row>
    <row r="130" spans="1:9">
      <c r="I130" s="490"/>
    </row>
    <row r="131" spans="1:9" ht="14.25">
      <c r="A131" s="484"/>
      <c r="B131" s="485" t="s">
        <v>307</v>
      </c>
      <c r="D131" s="1302" t="s">
        <v>1105</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307</v>
      </c>
      <c r="D137" s="1302" t="s">
        <v>1106</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307</v>
      </c>
      <c r="D151" s="1302" t="s">
        <v>1178</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2074</v>
      </c>
      <c r="E169" s="1321"/>
      <c r="F169" s="1321"/>
      <c r="G169" s="507"/>
      <c r="I169" s="490"/>
    </row>
    <row r="170" spans="1:9" ht="13.7" customHeight="1">
      <c r="D170" s="1319"/>
      <c r="E170" s="1319"/>
      <c r="F170" s="1319"/>
      <c r="G170" s="1319"/>
      <c r="I170" s="490"/>
    </row>
    <row r="171" spans="1:9" ht="14.45" customHeight="1">
      <c r="A171" s="489"/>
      <c r="B171" s="485" t="s">
        <v>307</v>
      </c>
      <c r="C171" s="476"/>
      <c r="D171" s="1273" t="s">
        <v>2214</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307</v>
      </c>
      <c r="C177" s="476"/>
      <c r="D177" s="1273" t="s">
        <v>1107</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307</v>
      </c>
      <c r="D182" s="1314" t="s">
        <v>2052</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2053</v>
      </c>
      <c r="B186" s="1309"/>
      <c r="C186" s="1309"/>
      <c r="D186" s="1309"/>
      <c r="E186" s="1309"/>
      <c r="F186" s="1309"/>
      <c r="G186" s="1309"/>
      <c r="H186" s="1028"/>
      <c r="I186" s="1153"/>
    </row>
    <row r="187" spans="1:9" ht="12" customHeight="1">
      <c r="D187" s="446"/>
      <c r="E187" s="446"/>
      <c r="F187" s="446"/>
      <c r="I187" s="490"/>
    </row>
    <row r="188" spans="1:9">
      <c r="B188" s="1304" t="s">
        <v>447</v>
      </c>
      <c r="C188" s="1304"/>
      <c r="D188" s="1304"/>
      <c r="E188" s="1304"/>
      <c r="F188" s="1304"/>
      <c r="I188" s="490"/>
    </row>
    <row r="189" spans="1:9">
      <c r="B189" s="392" t="s">
        <v>1876</v>
      </c>
      <c r="C189" s="392"/>
      <c r="D189" s="392"/>
      <c r="E189" s="392"/>
      <c r="F189" s="392"/>
      <c r="I189" s="490"/>
    </row>
    <row r="190" spans="1:9" ht="12" customHeight="1">
      <c r="A190" s="482"/>
      <c r="B190" s="482"/>
      <c r="C190" s="482"/>
      <c r="I190" s="490"/>
    </row>
    <row r="191" spans="1:9">
      <c r="A191" s="1309" t="s">
        <v>1046</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1747</v>
      </c>
      <c r="E193" s="1318"/>
      <c r="F193" s="1318"/>
      <c r="I193" s="490"/>
    </row>
    <row r="194" spans="1:9">
      <c r="A194" s="404"/>
      <c r="B194" s="404"/>
      <c r="D194" s="1318"/>
      <c r="E194" s="1318"/>
      <c r="F194" s="1318"/>
      <c r="I194" s="490"/>
    </row>
    <row r="195" spans="1:9">
      <c r="A195" s="404"/>
      <c r="B195" s="404"/>
      <c r="D195" s="1304" t="s">
        <v>1196</v>
      </c>
      <c r="E195" s="1304"/>
      <c r="F195" s="1304"/>
      <c r="I195" s="490"/>
    </row>
    <row r="196" spans="1:9">
      <c r="A196" s="404"/>
      <c r="B196" s="404"/>
      <c r="D196" s="392"/>
      <c r="E196" s="392"/>
      <c r="F196" s="392"/>
      <c r="I196" s="490"/>
    </row>
    <row r="197" spans="1:9">
      <c r="A197" s="404"/>
      <c r="B197" s="485" t="s">
        <v>307</v>
      </c>
      <c r="D197" s="1289" t="s">
        <v>1748</v>
      </c>
      <c r="E197" s="1289"/>
      <c r="F197" s="1289"/>
      <c r="I197" s="490"/>
    </row>
    <row r="198" spans="1:9">
      <c r="A198" s="404"/>
      <c r="B198" s="404"/>
      <c r="D198" s="1288" t="s">
        <v>1903</v>
      </c>
      <c r="E198" s="1288"/>
      <c r="F198" s="1288"/>
      <c r="I198" s="490"/>
    </row>
    <row r="199" spans="1:9">
      <c r="A199" s="404"/>
      <c r="B199" s="404"/>
      <c r="D199" s="96" t="s">
        <v>1749</v>
      </c>
      <c r="E199" s="1326" t="s">
        <v>1926</v>
      </c>
      <c r="F199" s="1326"/>
      <c r="I199" s="490"/>
    </row>
    <row r="200" spans="1:9">
      <c r="A200" s="404"/>
      <c r="B200" s="404"/>
      <c r="D200" s="3"/>
      <c r="E200" s="3"/>
      <c r="F200" s="3"/>
      <c r="I200" s="490"/>
    </row>
    <row r="201" spans="1:9">
      <c r="A201" s="404"/>
      <c r="B201" s="485" t="s">
        <v>307</v>
      </c>
      <c r="D201" s="1288" t="s">
        <v>1750</v>
      </c>
      <c r="E201" s="1288"/>
      <c r="F201" s="1288"/>
      <c r="I201" s="490"/>
    </row>
    <row r="202" spans="1:9">
      <c r="A202" s="404"/>
      <c r="B202" s="404"/>
      <c r="D202" s="1289" t="s">
        <v>1903</v>
      </c>
      <c r="E202" s="1289"/>
      <c r="F202" s="1289"/>
      <c r="I202" s="490"/>
    </row>
    <row r="203" spans="1:9">
      <c r="A203" s="404"/>
      <c r="B203" s="404"/>
      <c r="D203" s="57" t="s">
        <v>1751</v>
      </c>
      <c r="E203" s="1326" t="s">
        <v>1927</v>
      </c>
      <c r="F203" s="1326"/>
      <c r="I203" s="490"/>
    </row>
    <row r="204" spans="1:9">
      <c r="A204" s="404"/>
      <c r="B204" s="404"/>
      <c r="D204" s="3"/>
      <c r="E204" s="3"/>
      <c r="F204" s="3"/>
      <c r="I204" s="490"/>
    </row>
    <row r="205" spans="1:9">
      <c r="A205" s="404"/>
      <c r="B205" s="485" t="s">
        <v>307</v>
      </c>
      <c r="D205" s="1288" t="s">
        <v>1752</v>
      </c>
      <c r="E205" s="1288"/>
      <c r="F205" s="1288"/>
      <c r="I205" s="490"/>
    </row>
    <row r="206" spans="1:9">
      <c r="A206" s="404"/>
      <c r="B206" s="404"/>
      <c r="D206" s="1289" t="s">
        <v>1903</v>
      </c>
      <c r="E206" s="1289"/>
      <c r="F206" s="1289"/>
      <c r="I206" s="490"/>
    </row>
    <row r="207" spans="1:9">
      <c r="A207" s="404"/>
      <c r="B207" s="404"/>
      <c r="D207" s="57" t="s">
        <v>1749</v>
      </c>
      <c r="E207" s="1326" t="s">
        <v>1928</v>
      </c>
      <c r="F207" s="1326"/>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289" t="s">
        <v>1903</v>
      </c>
      <c r="E210" s="1289"/>
      <c r="F210" s="1289"/>
      <c r="I210" s="490"/>
    </row>
    <row r="211" spans="1:9">
      <c r="D211" s="385"/>
      <c r="E211" s="1326" t="s">
        <v>1929</v>
      </c>
      <c r="F211" s="1326"/>
      <c r="I211" s="490"/>
    </row>
    <row r="212" spans="1:9">
      <c r="D212" s="447"/>
      <c r="I212" s="490"/>
    </row>
    <row r="213" spans="1:9">
      <c r="B213" s="485" t="s">
        <v>307</v>
      </c>
      <c r="D213" s="1288" t="s">
        <v>1753</v>
      </c>
      <c r="E213" s="1288"/>
      <c r="F213" s="1288"/>
      <c r="I213" s="490"/>
    </row>
    <row r="214" spans="1:9">
      <c r="D214" s="1289" t="s">
        <v>1903</v>
      </c>
      <c r="E214" s="1289"/>
      <c r="F214" s="1289"/>
      <c r="I214" s="490"/>
    </row>
    <row r="215" spans="1:9">
      <c r="D215" s="57" t="s">
        <v>1749</v>
      </c>
      <c r="E215" s="1326" t="s">
        <v>1930</v>
      </c>
      <c r="F215" s="1326"/>
      <c r="I215" s="490"/>
    </row>
    <row r="216" spans="1:9">
      <c r="D216" s="451"/>
      <c r="E216" s="451"/>
      <c r="F216" s="451"/>
      <c r="I216" s="490"/>
    </row>
    <row r="217" spans="1:9" ht="14.25">
      <c r="A217" s="484"/>
      <c r="B217" s="485" t="s">
        <v>307</v>
      </c>
      <c r="D217" s="1302" t="s">
        <v>1217</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1047</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1121</v>
      </c>
      <c r="E225" s="1300"/>
      <c r="F225" s="1300"/>
      <c r="I225" s="490"/>
    </row>
    <row r="226" spans="1:9" ht="12" customHeight="1">
      <c r="A226" s="490"/>
      <c r="B226" s="490"/>
      <c r="C226" s="490"/>
      <c r="I226" s="490"/>
    </row>
    <row r="227" spans="1:9" ht="13.7" customHeight="1">
      <c r="A227" s="490"/>
      <c r="C227" s="490"/>
      <c r="D227" s="1310" t="s">
        <v>547</v>
      </c>
      <c r="E227" s="1310"/>
      <c r="F227" s="1310"/>
      <c r="I227" s="490"/>
    </row>
    <row r="228" spans="1:9" ht="14.25">
      <c r="A228" s="484"/>
      <c r="B228" s="485" t="s">
        <v>307</v>
      </c>
      <c r="D228" s="1302" t="s">
        <v>1754</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307</v>
      </c>
      <c r="D233" s="1302" t="s">
        <v>1755</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1119</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307</v>
      </c>
      <c r="D245" s="1302" t="s">
        <v>2054</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302" t="s">
        <v>2055</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302" t="s">
        <v>1120</v>
      </c>
      <c r="E259" s="1302"/>
      <c r="F259" s="1302"/>
      <c r="I259" s="490"/>
    </row>
    <row r="260" spans="1:9" ht="14.25">
      <c r="A260" s="484"/>
      <c r="B260" s="484"/>
      <c r="D260" s="1302"/>
      <c r="E260" s="1302"/>
      <c r="F260" s="1302"/>
      <c r="I260" s="490"/>
    </row>
    <row r="261" spans="1:9">
      <c r="D261" s="491"/>
      <c r="I261" s="490"/>
    </row>
    <row r="262" spans="1:9">
      <c r="A262" s="1309" t="s">
        <v>1048</v>
      </c>
      <c r="B262" s="1309"/>
      <c r="C262" s="1309"/>
      <c r="D262" s="1309"/>
      <c r="E262" s="1309"/>
      <c r="F262" s="1309"/>
      <c r="G262" s="1309"/>
      <c r="H262" s="1028"/>
      <c r="I262" s="1153"/>
    </row>
    <row r="263" spans="1:9">
      <c r="D263" s="491"/>
      <c r="I263" s="490"/>
    </row>
    <row r="264" spans="1:9">
      <c r="C264" s="486"/>
      <c r="D264" s="1310" t="s">
        <v>1122</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307</v>
      </c>
      <c r="D267" s="1302" t="s">
        <v>1197</v>
      </c>
      <c r="E267" s="1302"/>
      <c r="F267" s="1302"/>
      <c r="I267" s="490"/>
    </row>
    <row r="268" spans="1:9">
      <c r="D268" s="1302"/>
      <c r="E268" s="1302"/>
      <c r="F268" s="1302"/>
      <c r="I268" s="490"/>
    </row>
    <row r="269" spans="1:9">
      <c r="E269" s="1036" t="s">
        <v>1899</v>
      </c>
      <c r="I269" s="490"/>
    </row>
    <row r="270" spans="1:9">
      <c r="D270" s="446"/>
      <c r="E270" s="446"/>
      <c r="F270" s="446"/>
      <c r="I270" s="490"/>
    </row>
    <row r="271" spans="1:9" ht="14.45" customHeight="1">
      <c r="A271" s="484"/>
      <c r="B271" s="485" t="s">
        <v>307</v>
      </c>
      <c r="D271" s="1302" t="s">
        <v>2057</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307</v>
      </c>
      <c r="D278" s="1302" t="s">
        <v>1123</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1049</v>
      </c>
      <c r="B282" s="1309"/>
      <c r="C282" s="1309"/>
      <c r="D282" s="1309"/>
      <c r="E282" s="1309"/>
      <c r="F282" s="1309"/>
      <c r="G282" s="1309"/>
      <c r="H282" s="1028"/>
      <c r="I282" s="1153"/>
    </row>
    <row r="283" spans="1:9">
      <c r="D283" s="492"/>
      <c r="E283" s="446"/>
      <c r="F283" s="446"/>
      <c r="I283" s="490"/>
    </row>
    <row r="284" spans="1:9">
      <c r="C284" s="482"/>
      <c r="D284" s="1318" t="s">
        <v>1124</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1125</v>
      </c>
      <c r="E288" s="1327"/>
      <c r="F288" s="1327"/>
      <c r="I288" s="490"/>
    </row>
    <row r="289" spans="1:9">
      <c r="E289" s="446"/>
      <c r="F289" s="446"/>
      <c r="I289" s="490"/>
    </row>
    <row r="290" spans="1:9" ht="14.25">
      <c r="A290" s="484"/>
      <c r="B290" s="485" t="s">
        <v>307</v>
      </c>
      <c r="D290" s="1302" t="s">
        <v>1126</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307</v>
      </c>
      <c r="D293" s="1302" t="s">
        <v>1127</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307</v>
      </c>
      <c r="D297" s="1302" t="s">
        <v>1128</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1050</v>
      </c>
      <c r="B300" s="1309"/>
      <c r="C300" s="1309"/>
      <c r="D300" s="1309"/>
      <c r="E300" s="1309"/>
      <c r="F300" s="1309"/>
      <c r="G300" s="1309"/>
      <c r="H300" s="1028"/>
      <c r="I300" s="1153"/>
    </row>
    <row r="301" spans="1:9">
      <c r="A301" s="490"/>
      <c r="B301" s="490"/>
      <c r="D301" s="446"/>
      <c r="E301" s="446"/>
      <c r="F301" s="446"/>
      <c r="I301" s="490"/>
    </row>
    <row r="302" spans="1:9">
      <c r="C302" s="490"/>
      <c r="D302" s="1310" t="s">
        <v>683</v>
      </c>
      <c r="E302" s="1310"/>
      <c r="F302" s="1310"/>
      <c r="I302" s="490"/>
    </row>
    <row r="303" spans="1:9">
      <c r="C303" s="490"/>
      <c r="D303" s="1300" t="s">
        <v>1129</v>
      </c>
      <c r="E303" s="1300"/>
      <c r="F303" s="1300"/>
      <c r="I303" s="490"/>
    </row>
    <row r="304" spans="1:9">
      <c r="C304" s="490"/>
      <c r="D304" s="493"/>
      <c r="I304" s="490"/>
    </row>
    <row r="305" spans="1:9">
      <c r="B305" s="485" t="s">
        <v>307</v>
      </c>
      <c r="D305" s="1300" t="s">
        <v>1130</v>
      </c>
      <c r="E305" s="1300"/>
      <c r="F305" s="1300"/>
      <c r="I305" s="490"/>
    </row>
    <row r="306" spans="1:9" ht="14.25">
      <c r="A306" s="484"/>
      <c r="B306" s="484"/>
      <c r="D306" s="494"/>
      <c r="E306" s="495"/>
      <c r="F306" s="495"/>
      <c r="I306" s="490"/>
    </row>
    <row r="307" spans="1:9" ht="13.7" customHeight="1">
      <c r="B307" s="485" t="s">
        <v>307</v>
      </c>
      <c r="D307" s="1311" t="s">
        <v>1220</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307</v>
      </c>
      <c r="D313" s="1311" t="s">
        <v>1131</v>
      </c>
      <c r="E313" s="1311"/>
      <c r="F313" s="1311"/>
      <c r="I313" s="490"/>
    </row>
    <row r="314" spans="1:9">
      <c r="D314" s="1311"/>
      <c r="E314" s="1311"/>
      <c r="F314" s="1311"/>
      <c r="I314" s="490"/>
    </row>
    <row r="315" spans="1:9" ht="14.25">
      <c r="A315" s="484"/>
      <c r="B315" s="484"/>
      <c r="D315" s="494"/>
      <c r="E315" s="495"/>
      <c r="F315" s="495"/>
      <c r="I315" s="490"/>
    </row>
    <row r="316" spans="1:9">
      <c r="B316" s="485" t="s">
        <v>307</v>
      </c>
      <c r="D316" s="1300" t="s">
        <v>1132</v>
      </c>
      <c r="E316" s="1300"/>
      <c r="F316" s="1300"/>
      <c r="I316" s="490"/>
    </row>
    <row r="317" spans="1:9">
      <c r="E317" s="446"/>
      <c r="F317" s="446"/>
      <c r="I317" s="490"/>
    </row>
    <row r="318" spans="1:9" ht="14.25">
      <c r="A318" s="484"/>
      <c r="B318" s="485" t="s">
        <v>307</v>
      </c>
      <c r="D318" s="1302" t="s">
        <v>2247</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307</v>
      </c>
      <c r="D334" s="1302" t="s">
        <v>1133</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307</v>
      </c>
      <c r="D344" s="1302" t="s">
        <v>1904</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30" t="s">
        <v>980</v>
      </c>
      <c r="E351" s="1330"/>
      <c r="F351" s="1330"/>
      <c r="G351" s="1027"/>
      <c r="H351" s="1027"/>
      <c r="I351" s="1156"/>
    </row>
    <row r="352" spans="1:9" ht="13.5" thickTop="1">
      <c r="D352" s="1329" t="s">
        <v>2248</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0" t="s">
        <v>1902</v>
      </c>
      <c r="E355" s="1300"/>
      <c r="F355" s="1300"/>
      <c r="I355" s="490"/>
    </row>
    <row r="356" spans="1:9" ht="12.75" customHeight="1">
      <c r="D356" s="1037"/>
      <c r="E356" s="96" t="s">
        <v>1901</v>
      </c>
      <c r="F356" s="1037"/>
      <c r="I356" s="490"/>
    </row>
    <row r="357" spans="1:9">
      <c r="D357" s="1302" t="s">
        <v>1240</v>
      </c>
      <c r="E357" s="1302"/>
      <c r="F357" s="1302"/>
      <c r="I357" s="490"/>
    </row>
    <row r="358" spans="1:9">
      <c r="D358" s="1302"/>
      <c r="E358" s="1302"/>
      <c r="F358" s="1302"/>
      <c r="I358" s="490"/>
    </row>
    <row r="359" spans="1:9">
      <c r="D359" s="1302"/>
      <c r="E359" s="1302"/>
      <c r="F359" s="1302"/>
      <c r="I359" s="490"/>
    </row>
    <row r="360" spans="1:9" ht="14.25">
      <c r="A360" s="484"/>
      <c r="B360" s="485" t="s">
        <v>307</v>
      </c>
      <c r="C360" s="476"/>
      <c r="D360" s="1319" t="s">
        <v>2058</v>
      </c>
      <c r="E360" s="1319"/>
      <c r="F360" s="1319"/>
      <c r="I360" s="480"/>
    </row>
    <row r="361" spans="1:9">
      <c r="A361" s="476"/>
      <c r="B361" s="476"/>
      <c r="C361" s="476"/>
      <c r="D361" s="447"/>
      <c r="E361" s="447"/>
      <c r="F361" s="446"/>
      <c r="I361" s="490"/>
    </row>
    <row r="362" spans="1:9">
      <c r="A362" s="476"/>
      <c r="B362" s="485" t="s">
        <v>307</v>
      </c>
      <c r="C362" s="476"/>
      <c r="D362" s="1273" t="s">
        <v>2059</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6" customHeight="1">
      <c r="A375" s="476"/>
      <c r="B375" s="485" t="s">
        <v>307</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3" t="s">
        <v>1134</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1135</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1136</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307</v>
      </c>
      <c r="C420" s="476"/>
      <c r="D420" s="1273" t="s">
        <v>1137</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307</v>
      </c>
      <c r="D423" s="1273" t="s">
        <v>1883</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307</v>
      </c>
      <c r="C429" s="476"/>
      <c r="D429" s="1273" t="s">
        <v>1241</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2075</v>
      </c>
      <c r="E433" s="1273"/>
      <c r="F433" s="1273"/>
      <c r="I433" s="490"/>
    </row>
    <row r="434" spans="1:9">
      <c r="D434" s="446"/>
      <c r="E434" s="446"/>
      <c r="F434" s="446"/>
      <c r="I434" s="490"/>
    </row>
    <row r="435" spans="1:9" ht="14.25">
      <c r="A435" s="484"/>
      <c r="B435" s="485" t="s">
        <v>307</v>
      </c>
      <c r="C435" s="487"/>
      <c r="D435" s="1302" t="s">
        <v>2060</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307</v>
      </c>
      <c r="C467" s="487"/>
      <c r="D467" s="1302" t="s">
        <v>1138</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307</v>
      </c>
      <c r="C471" s="484"/>
      <c r="D471" s="1302" t="s">
        <v>1198</v>
      </c>
      <c r="E471" s="1302"/>
      <c r="F471" s="1302"/>
      <c r="I471" s="490"/>
    </row>
    <row r="472" spans="1:9">
      <c r="D472" s="1302"/>
      <c r="E472" s="1302"/>
      <c r="F472" s="1302"/>
      <c r="I472" s="490"/>
    </row>
    <row r="473" spans="1:9">
      <c r="D473" s="446"/>
      <c r="E473" s="446"/>
      <c r="F473" s="446"/>
      <c r="I473" s="490"/>
    </row>
    <row r="474" spans="1:9" ht="14.25">
      <c r="B474" s="485" t="s">
        <v>307</v>
      </c>
      <c r="C474" s="484"/>
      <c r="D474" s="1302" t="s">
        <v>1139</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307</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307</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307</v>
      </c>
      <c r="C486" s="402"/>
      <c r="D486" s="1302"/>
      <c r="E486" s="1302"/>
      <c r="F486" s="1302"/>
      <c r="I486" s="490"/>
    </row>
    <row r="487" spans="1:9">
      <c r="A487" s="402"/>
      <c r="C487" s="402"/>
      <c r="D487" s="1302"/>
      <c r="E487" s="1302"/>
      <c r="F487" s="1302"/>
      <c r="I487" s="490"/>
    </row>
    <row r="488" spans="1:9">
      <c r="A488" s="402"/>
      <c r="B488" s="485" t="s">
        <v>307</v>
      </c>
      <c r="C488" s="402"/>
      <c r="D488" s="1302" t="s">
        <v>1140</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307</v>
      </c>
      <c r="D494" s="1300" t="s">
        <v>1141</v>
      </c>
      <c r="E494" s="1300"/>
      <c r="F494" s="1300"/>
      <c r="I494" s="490"/>
    </row>
    <row r="495" spans="1:9">
      <c r="A495" s="446"/>
      <c r="B495" s="446"/>
      <c r="I495" s="490"/>
    </row>
    <row r="496" spans="1:9">
      <c r="A496" s="1309" t="s">
        <v>1051</v>
      </c>
      <c r="B496" s="1309"/>
      <c r="C496" s="1309"/>
      <c r="D496" s="1309"/>
      <c r="E496" s="1309"/>
      <c r="F496" s="1309"/>
      <c r="G496" s="1309"/>
      <c r="H496" s="1028"/>
      <c r="I496" s="1153"/>
    </row>
    <row r="497" spans="1:9">
      <c r="A497" s="446"/>
      <c r="B497" s="446"/>
      <c r="I497" s="490"/>
    </row>
    <row r="498" spans="1:9">
      <c r="D498" s="1328" t="s">
        <v>884</v>
      </c>
      <c r="E498" s="1328"/>
      <c r="F498" s="1328"/>
      <c r="I498" s="490"/>
    </row>
    <row r="499" spans="1:9" ht="14.25">
      <c r="A499" s="484"/>
      <c r="B499" s="484"/>
      <c r="D499" s="1319" t="s">
        <v>1142</v>
      </c>
      <c r="E499" s="1319"/>
      <c r="F499" s="1319"/>
      <c r="I499" s="490"/>
    </row>
    <row r="500" spans="1:9" ht="14.25">
      <c r="A500" s="484"/>
      <c r="B500" s="484"/>
      <c r="D500" s="447"/>
      <c r="I500" s="490"/>
    </row>
    <row r="501" spans="1:9" ht="14.25">
      <c r="A501" s="484"/>
      <c r="B501" s="485" t="s">
        <v>307</v>
      </c>
      <c r="D501" s="1273" t="s">
        <v>1143</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307</v>
      </c>
      <c r="D504" s="1314" t="s">
        <v>1274</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307</v>
      </c>
      <c r="D509" s="1300" t="s">
        <v>1144</v>
      </c>
      <c r="E509" s="1300"/>
      <c r="F509" s="1300"/>
      <c r="I509" s="490"/>
    </row>
    <row r="510" spans="1:9" ht="14.25">
      <c r="A510" s="484"/>
      <c r="B510" s="484"/>
      <c r="D510" s="446"/>
      <c r="I510" s="490"/>
    </row>
    <row r="511" spans="1:9" ht="14.25">
      <c r="A511" s="484"/>
      <c r="B511" s="485" t="s">
        <v>307</v>
      </c>
      <c r="D511" s="1302" t="s">
        <v>1145</v>
      </c>
      <c r="E511" s="1302"/>
      <c r="F511" s="1302"/>
      <c r="I511" s="490"/>
    </row>
    <row r="512" spans="1:9" ht="14.25">
      <c r="A512" s="484"/>
      <c r="D512" s="1302"/>
      <c r="E512" s="1302"/>
      <c r="F512" s="1302"/>
      <c r="I512" s="490"/>
    </row>
    <row r="513" spans="1:9">
      <c r="A513" s="490"/>
      <c r="B513" s="490"/>
      <c r="D513" s="447"/>
      <c r="I513" s="490"/>
    </row>
    <row r="514" spans="1:9">
      <c r="A514" s="490"/>
      <c r="B514" s="485" t="s">
        <v>307</v>
      </c>
      <c r="D514" s="1300" t="s">
        <v>1146</v>
      </c>
      <c r="E514" s="1300"/>
      <c r="F514" s="1300"/>
      <c r="I514" s="490"/>
    </row>
    <row r="515" spans="1:9">
      <c r="D515" s="446"/>
      <c r="E515" s="446"/>
      <c r="F515" s="446"/>
      <c r="I515" s="490"/>
    </row>
    <row r="516" spans="1:9">
      <c r="B516" s="485" t="s">
        <v>307</v>
      </c>
      <c r="D516" s="1302" t="s">
        <v>2282</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1052</v>
      </c>
      <c r="B521" s="1309"/>
      <c r="C521" s="1309"/>
      <c r="D521" s="1309"/>
      <c r="E521" s="1309"/>
      <c r="F521" s="1309"/>
      <c r="G521" s="1309"/>
      <c r="H521" s="1028"/>
      <c r="I521" s="1153"/>
    </row>
    <row r="522" spans="1:9" ht="12" customHeight="1">
      <c r="A522" s="484"/>
      <c r="B522" s="484"/>
      <c r="D522" s="446"/>
      <c r="I522" s="490"/>
    </row>
    <row r="523" spans="1:9">
      <c r="C523" s="482"/>
      <c r="D523" s="1310" t="s">
        <v>794</v>
      </c>
      <c r="E523" s="1310"/>
      <c r="F523" s="1310"/>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3" t="s">
        <v>2061</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35" customHeight="1">
      <c r="A536" s="483"/>
      <c r="B536" s="485" t="s">
        <v>307</v>
      </c>
      <c r="C536" s="483"/>
      <c r="D536" s="1302" t="s">
        <v>2063</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1053</v>
      </c>
      <c r="B539" s="1309"/>
      <c r="C539" s="1309"/>
      <c r="D539" s="1309"/>
      <c r="E539" s="1309"/>
      <c r="F539" s="1309"/>
      <c r="G539" s="1309"/>
      <c r="H539" s="1028"/>
      <c r="I539" s="1153"/>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1054</v>
      </c>
      <c r="B543" s="1301"/>
      <c r="C543" s="1301"/>
      <c r="D543" s="1301"/>
      <c r="E543" s="1301"/>
      <c r="F543" s="1301"/>
      <c r="G543" s="1301"/>
      <c r="H543" s="1028"/>
      <c r="I543" s="1153"/>
    </row>
    <row r="544" spans="1:9">
      <c r="A544" s="446"/>
      <c r="B544" s="446"/>
      <c r="C544" s="487"/>
      <c r="D544" s="446"/>
      <c r="F544" s="446"/>
      <c r="I544" s="490"/>
    </row>
    <row r="545" spans="1:9">
      <c r="C545" s="487"/>
      <c r="D545" s="1310" t="s">
        <v>684</v>
      </c>
      <c r="E545" s="1310"/>
      <c r="F545" s="1310"/>
      <c r="I545" s="490"/>
    </row>
    <row r="546" spans="1:9">
      <c r="C546" s="487"/>
      <c r="D546" s="1300" t="s">
        <v>1082</v>
      </c>
      <c r="E546" s="1300"/>
      <c r="F546" s="1300"/>
      <c r="I546" s="490"/>
    </row>
    <row r="547" spans="1:9">
      <c r="C547" s="487"/>
      <c r="D547" s="446"/>
      <c r="E547" s="446"/>
      <c r="F547" s="446"/>
      <c r="I547" s="490"/>
    </row>
    <row r="548" spans="1:9" ht="13.7" customHeight="1">
      <c r="A548" s="484"/>
      <c r="B548" s="485" t="s">
        <v>307</v>
      </c>
      <c r="C548" s="487"/>
      <c r="D548" s="1300" t="s">
        <v>885</v>
      </c>
      <c r="E548" s="1300"/>
      <c r="F548" s="1300"/>
      <c r="I548" s="490"/>
    </row>
    <row r="549" spans="1:9" ht="13.7" customHeight="1">
      <c r="A549" s="487"/>
      <c r="B549" s="487"/>
      <c r="C549" s="487"/>
      <c r="D549" s="446"/>
      <c r="I549" s="490"/>
    </row>
    <row r="550" spans="1:9" ht="14.25">
      <c r="A550" s="484"/>
      <c r="B550" s="485" t="s">
        <v>307</v>
      </c>
      <c r="C550" s="487"/>
      <c r="D550" s="1302" t="s">
        <v>1083</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307</v>
      </c>
      <c r="C553" s="487"/>
      <c r="D553" s="1302" t="s">
        <v>1084</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307</v>
      </c>
      <c r="C556" s="487"/>
      <c r="D556" s="1302" t="s">
        <v>1085</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307</v>
      </c>
      <c r="C559" s="487"/>
      <c r="D559" s="1302" t="s">
        <v>1086</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307</v>
      </c>
      <c r="C563" s="487"/>
      <c r="D563" s="1302" t="s">
        <v>2249</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307</v>
      </c>
      <c r="C566" s="487"/>
      <c r="D566" s="1302" t="s">
        <v>1087</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307</v>
      </c>
      <c r="C569" s="487"/>
      <c r="D569" s="1300" t="s">
        <v>1088</v>
      </c>
      <c r="E569" s="1300"/>
      <c r="F569" s="1300"/>
      <c r="I569" s="490"/>
    </row>
    <row r="570" spans="1:9">
      <c r="A570" s="490"/>
      <c r="B570" s="490"/>
      <c r="C570" s="487"/>
      <c r="D570" s="1300" t="s">
        <v>1908</v>
      </c>
      <c r="E570" s="1300"/>
      <c r="F570" s="1300"/>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300" t="s">
        <v>1089</v>
      </c>
      <c r="E573" s="1300"/>
      <c r="F573" s="1300"/>
      <c r="I573" s="490"/>
    </row>
    <row r="574" spans="1:9">
      <c r="C574" s="487"/>
      <c r="D574" s="1302" t="s">
        <v>1090</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307</v>
      </c>
      <c r="C578" s="487"/>
      <c r="D578" s="1302" t="s">
        <v>2064</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1055</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1068</v>
      </c>
      <c r="E586" s="1314"/>
      <c r="F586" s="1314"/>
      <c r="I586" s="490"/>
    </row>
    <row r="587" spans="1:9">
      <c r="A587" s="402"/>
      <c r="B587" s="402"/>
      <c r="C587" s="483"/>
      <c r="D587" s="499"/>
      <c r="I587" s="490"/>
    </row>
    <row r="588" spans="1:9">
      <c r="A588" s="483"/>
      <c r="B588" s="485" t="s">
        <v>307</v>
      </c>
      <c r="D588" s="1314" t="s">
        <v>889</v>
      </c>
      <c r="E588" s="1314"/>
      <c r="F588" s="1314"/>
      <c r="I588" s="490"/>
    </row>
    <row r="589" spans="1:9">
      <c r="A589" s="490"/>
      <c r="B589" s="490"/>
      <c r="D589" s="476"/>
      <c r="I589" s="490"/>
    </row>
    <row r="590" spans="1:9">
      <c r="A590" s="490"/>
      <c r="B590" s="485" t="s">
        <v>307</v>
      </c>
      <c r="D590" s="1314" t="s">
        <v>2065</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307</v>
      </c>
      <c r="D594" s="1314" t="s">
        <v>1069</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307</v>
      </c>
      <c r="D599" s="1314" t="s">
        <v>2066</v>
      </c>
      <c r="E599" s="1314"/>
      <c r="F599" s="1314"/>
      <c r="I599" s="490"/>
    </row>
    <row r="600" spans="1:9">
      <c r="A600" s="490"/>
      <c r="B600" s="490"/>
      <c r="D600" s="1314"/>
      <c r="E600" s="1314"/>
      <c r="F600" s="1314"/>
      <c r="I600" s="490"/>
    </row>
    <row r="601" spans="1:9">
      <c r="A601" s="490"/>
      <c r="B601" s="490"/>
      <c r="D601" s="499"/>
      <c r="I601" s="490"/>
    </row>
    <row r="602" spans="1:9">
      <c r="A602" s="490"/>
      <c r="B602" s="485" t="s">
        <v>307</v>
      </c>
      <c r="D602" s="1314" t="s">
        <v>1070</v>
      </c>
      <c r="E602" s="1314"/>
      <c r="F602" s="1314"/>
      <c r="I602" s="490"/>
    </row>
    <row r="603" spans="1:9">
      <c r="A603" s="490"/>
      <c r="B603" s="490"/>
      <c r="D603" s="1314"/>
      <c r="E603" s="1314"/>
      <c r="F603" s="1314"/>
      <c r="I603" s="490"/>
    </row>
    <row r="604" spans="1:9" ht="14.25">
      <c r="A604" s="484"/>
      <c r="B604" s="484"/>
      <c r="D604" s="499"/>
      <c r="I604" s="490"/>
    </row>
    <row r="605" spans="1:9">
      <c r="A605" s="1309" t="s">
        <v>1056</v>
      </c>
      <c r="B605" s="1309"/>
      <c r="C605" s="1309"/>
      <c r="D605" s="1309"/>
      <c r="E605" s="1309"/>
      <c r="F605" s="1309"/>
      <c r="G605" s="1309"/>
      <c r="H605" s="1028"/>
      <c r="I605" s="1153"/>
    </row>
    <row r="606" spans="1:9">
      <c r="I606" s="490"/>
    </row>
    <row r="607" spans="1:9">
      <c r="D607" s="1310" t="s">
        <v>1108</v>
      </c>
      <c r="E607" s="1310"/>
      <c r="F607" s="1310"/>
      <c r="I607" s="490"/>
    </row>
    <row r="608" spans="1:9">
      <c r="D608" s="1282" t="s">
        <v>1109</v>
      </c>
      <c r="E608" s="1282"/>
      <c r="F608" s="1282"/>
      <c r="I608" s="490"/>
    </row>
    <row r="609" spans="1:9">
      <c r="D609" s="444"/>
      <c r="I609" s="490"/>
    </row>
    <row r="610" spans="1:9" ht="14.25" customHeight="1">
      <c r="A610" s="484"/>
      <c r="B610" s="485" t="s">
        <v>307</v>
      </c>
      <c r="D610" s="1315" t="s">
        <v>1909</v>
      </c>
      <c r="E610" s="1315"/>
      <c r="F610" s="1315"/>
      <c r="I610" s="490"/>
    </row>
    <row r="611" spans="1:9">
      <c r="D611" s="1315"/>
      <c r="E611" s="1315"/>
      <c r="F611" s="1315"/>
      <c r="I611" s="490"/>
    </row>
    <row r="612" spans="1:9">
      <c r="D612" s="385"/>
      <c r="E612" s="1036" t="s">
        <v>1910</v>
      </c>
      <c r="F612" s="385"/>
      <c r="I612" s="490"/>
    </row>
    <row r="613" spans="1:9">
      <c r="I613" s="490"/>
    </row>
    <row r="614" spans="1:9">
      <c r="A614" s="1309" t="s">
        <v>1057</v>
      </c>
      <c r="B614" s="1309"/>
      <c r="C614" s="1309"/>
      <c r="D614" s="1309"/>
      <c r="E614" s="1309"/>
      <c r="F614" s="1309"/>
      <c r="G614" s="1309"/>
      <c r="H614" s="1028"/>
      <c r="I614" s="1153"/>
    </row>
    <row r="615" spans="1:9">
      <c r="A615" s="446"/>
      <c r="B615" s="446"/>
      <c r="I615" s="490"/>
    </row>
    <row r="616" spans="1:9">
      <c r="A616" s="482"/>
      <c r="B616" s="482"/>
      <c r="C616" s="482"/>
      <c r="D616" s="1299" t="s">
        <v>1110</v>
      </c>
      <c r="E616" s="1299"/>
      <c r="F616" s="1299"/>
      <c r="I616" s="490"/>
    </row>
    <row r="617" spans="1:9">
      <c r="A617" s="482"/>
      <c r="B617" s="482"/>
      <c r="C617" s="482"/>
      <c r="D617" s="1299"/>
      <c r="E617" s="1299"/>
      <c r="F617" s="1299"/>
      <c r="I617" s="490"/>
    </row>
    <row r="618" spans="1:9">
      <c r="C618" s="483"/>
      <c r="D618" s="1282" t="s">
        <v>1111</v>
      </c>
      <c r="E618" s="1282"/>
      <c r="F618" s="128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309" t="s">
        <v>1058</v>
      </c>
      <c r="B629" s="1309"/>
      <c r="C629" s="1309"/>
      <c r="D629" s="1309"/>
      <c r="E629" s="1309"/>
      <c r="F629" s="1309"/>
      <c r="G629" s="1309"/>
      <c r="H629" s="1028"/>
      <c r="I629" s="1153"/>
    </row>
    <row r="630" spans="1:9">
      <c r="A630" s="482"/>
      <c r="B630" s="482"/>
      <c r="C630" s="482"/>
      <c r="I630" s="490"/>
    </row>
    <row r="631" spans="1:9">
      <c r="C631" s="490"/>
      <c r="D631" s="1310" t="s">
        <v>1115</v>
      </c>
      <c r="E631" s="1310"/>
      <c r="F631" s="1310"/>
      <c r="I631" s="490"/>
    </row>
    <row r="632" spans="1:9">
      <c r="A632" s="490"/>
      <c r="B632" s="490"/>
      <c r="D632" s="404"/>
      <c r="I632" s="490"/>
    </row>
    <row r="633" spans="1:9" ht="14.25" customHeight="1">
      <c r="A633" s="484"/>
      <c r="B633" s="485" t="s">
        <v>307</v>
      </c>
      <c r="D633" s="1315" t="s">
        <v>2067</v>
      </c>
      <c r="E633" s="1315"/>
      <c r="F633" s="1315"/>
      <c r="I633" s="490"/>
    </row>
    <row r="634" spans="1:9">
      <c r="D634" s="1315"/>
      <c r="E634" s="1315"/>
      <c r="F634" s="1315"/>
      <c r="I634" s="490"/>
    </row>
    <row r="635" spans="1:9">
      <c r="D635" s="385"/>
      <c r="E635" s="1036" t="s">
        <v>1912</v>
      </c>
      <c r="F635" s="385"/>
      <c r="I635" s="490"/>
    </row>
    <row r="636" spans="1:9">
      <c r="D636" s="1302" t="s">
        <v>1911</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307</v>
      </c>
      <c r="D640" s="1302" t="s">
        <v>1116</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307</v>
      </c>
      <c r="C643" s="487"/>
      <c r="D643" s="1302" t="s">
        <v>1226</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307</v>
      </c>
      <c r="C646" s="487"/>
      <c r="D646" s="1300" t="s">
        <v>1117</v>
      </c>
      <c r="E646" s="1300"/>
      <c r="F646" s="1300"/>
      <c r="I646" s="490"/>
    </row>
    <row r="647" spans="1:9">
      <c r="A647" s="487"/>
      <c r="B647" s="487"/>
      <c r="C647" s="487"/>
      <c r="D647" s="446"/>
      <c r="E647" s="446"/>
      <c r="F647" s="446"/>
      <c r="I647" s="490"/>
    </row>
    <row r="648" spans="1:9">
      <c r="A648" s="1309" t="s">
        <v>1059</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1147</v>
      </c>
      <c r="E650" s="1310"/>
      <c r="F650" s="1310"/>
      <c r="I650" s="490"/>
    </row>
    <row r="651" spans="1:9">
      <c r="A651" s="483"/>
      <c r="B651" s="483"/>
      <c r="C651" s="483"/>
      <c r="D651" s="1300" t="s">
        <v>1148</v>
      </c>
      <c r="E651" s="1300"/>
      <c r="F651" s="1300"/>
      <c r="I651" s="490"/>
    </row>
    <row r="652" spans="1:9">
      <c r="A652" s="483"/>
      <c r="B652" s="483"/>
      <c r="C652" s="483"/>
      <c r="D652" s="446"/>
      <c r="E652" s="446"/>
      <c r="F652" s="446"/>
      <c r="I652" s="490"/>
    </row>
    <row r="653" spans="1:9" ht="12.75" customHeight="1">
      <c r="B653" s="485" t="s">
        <v>307</v>
      </c>
      <c r="C653" s="487"/>
      <c r="D653" s="1302" t="s">
        <v>1282</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307</v>
      </c>
      <c r="C658" s="487"/>
      <c r="D658" s="1302" t="s">
        <v>1284</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307</v>
      </c>
      <c r="C664" s="487"/>
      <c r="D664" s="1302" t="s">
        <v>1283</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307</v>
      </c>
      <c r="C669" s="487"/>
      <c r="D669" s="1302" t="s">
        <v>2068</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1060</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1077</v>
      </c>
      <c r="E683" s="1300"/>
      <c r="F683" s="1300"/>
      <c r="H683" s="501"/>
      <c r="I683" s="483"/>
      <c r="J683" s="501"/>
      <c r="K683" s="501"/>
    </row>
    <row r="684" spans="1:11">
      <c r="A684" s="483"/>
      <c r="B684" s="483"/>
      <c r="C684" s="483"/>
      <c r="H684" s="501"/>
      <c r="I684" s="483"/>
      <c r="J684" s="501"/>
      <c r="K684" s="501"/>
    </row>
    <row r="685" spans="1:11" ht="14.25">
      <c r="A685" s="484"/>
      <c r="B685" s="485" t="s">
        <v>307</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2" t="s">
        <v>2069</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307</v>
      </c>
      <c r="C694" s="483"/>
      <c r="D694" s="1300" t="s">
        <v>918</v>
      </c>
      <c r="E694" s="1300"/>
      <c r="F694" s="1300"/>
      <c r="H694" s="501"/>
      <c r="I694" s="483"/>
      <c r="J694" s="501"/>
      <c r="K694" s="501"/>
    </row>
    <row r="695" spans="1:11" ht="14.25">
      <c r="A695" s="484"/>
      <c r="B695" s="484"/>
      <c r="C695" s="483"/>
      <c r="D695" s="1300" t="s">
        <v>895</v>
      </c>
      <c r="E695" s="1300"/>
      <c r="F695" s="1300"/>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300" t="s">
        <v>2471</v>
      </c>
      <c r="E698" s="1300"/>
      <c r="F698" s="1300"/>
      <c r="H698" s="501"/>
      <c r="I698" s="483"/>
      <c r="J698" s="501"/>
      <c r="K698" s="501"/>
    </row>
    <row r="699" spans="1:11" ht="14.25">
      <c r="A699" s="484"/>
      <c r="B699" s="484"/>
      <c r="C699" s="483"/>
      <c r="D699" s="1300" t="s">
        <v>895</v>
      </c>
      <c r="E699" s="1300"/>
      <c r="F699" s="1300"/>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2" t="s">
        <v>2246</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2" t="s">
        <v>1202</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2" t="s">
        <v>1078</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307</v>
      </c>
      <c r="C725" s="483"/>
      <c r="D725" s="1302" t="s">
        <v>2464</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2" t="s">
        <v>2463</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307</v>
      </c>
      <c r="C733" s="483"/>
      <c r="D733" s="1302" t="s">
        <v>2462</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307</v>
      </c>
      <c r="C738" s="483"/>
      <c r="D738" s="1302" t="s">
        <v>1079</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307</v>
      </c>
      <c r="C744" s="483"/>
      <c r="D744" s="1302" t="s">
        <v>2147</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2076</v>
      </c>
      <c r="E751" s="1303"/>
      <c r="F751" s="1303"/>
      <c r="H751" s="501"/>
      <c r="I751" s="483"/>
      <c r="J751" s="501"/>
      <c r="K751" s="501"/>
    </row>
    <row r="752" spans="1:11">
      <c r="A752" s="483"/>
      <c r="B752" s="483"/>
      <c r="C752" s="483"/>
      <c r="D752" s="341"/>
      <c r="H752" s="501"/>
      <c r="I752" s="483"/>
      <c r="J752" s="501"/>
      <c r="K752" s="501"/>
    </row>
    <row r="753" spans="1:11">
      <c r="A753" s="1301" t="s">
        <v>1061</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1071</v>
      </c>
      <c r="E755" s="1318"/>
      <c r="F755" s="1318"/>
      <c r="G755" s="501"/>
      <c r="H755" s="501"/>
      <c r="I755" s="483"/>
      <c r="J755" s="501"/>
      <c r="K755" s="501"/>
    </row>
    <row r="756" spans="1:11">
      <c r="A756" s="483"/>
      <c r="B756" s="483"/>
      <c r="C756" s="483"/>
      <c r="D756" s="1304" t="s">
        <v>1072</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307</v>
      </c>
      <c r="D758" s="1302" t="s">
        <v>1073</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2" t="s">
        <v>1242</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302" t="s">
        <v>1199</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307</v>
      </c>
      <c r="D777" s="1302" t="s">
        <v>1216</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1802</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1856</v>
      </c>
      <c r="E783" s="1316"/>
      <c r="F783" s="1316"/>
      <c r="G783" s="3"/>
      <c r="I783" s="490"/>
    </row>
    <row r="784" spans="1:11">
      <c r="A784" s="57"/>
      <c r="B784" s="57"/>
      <c r="C784" s="354"/>
      <c r="D784" s="1319" t="s">
        <v>1756</v>
      </c>
      <c r="E784" s="1319"/>
      <c r="F784" s="1319"/>
      <c r="G784" s="3"/>
      <c r="I784" s="490"/>
    </row>
    <row r="785" spans="1:9">
      <c r="A785" s="57"/>
      <c r="B785" s="57"/>
      <c r="C785" s="354"/>
      <c r="D785" s="447"/>
      <c r="E785" s="447"/>
      <c r="F785" s="447"/>
      <c r="G785" s="3"/>
      <c r="I785" s="490"/>
    </row>
    <row r="786" spans="1:9">
      <c r="A786" s="57"/>
      <c r="B786" s="485" t="s">
        <v>307</v>
      </c>
      <c r="C786" s="354"/>
      <c r="D786" s="1295" t="s">
        <v>1757</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307</v>
      </c>
      <c r="C790" s="172"/>
      <c r="D790" s="1295" t="s">
        <v>1758</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307</v>
      </c>
      <c r="C794" s="989"/>
      <c r="D794" s="1295" t="s">
        <v>1759</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307</v>
      </c>
      <c r="C798" s="989"/>
      <c r="D798" s="1295" t="s">
        <v>1760</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1803</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307</v>
      </c>
      <c r="C808" s="989"/>
      <c r="D808" s="1295" t="s">
        <v>1761</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307</v>
      </c>
      <c r="C815" s="989"/>
      <c r="D815" s="1295" t="s">
        <v>1762</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307</v>
      </c>
      <c r="C822" s="989"/>
      <c r="D822" s="1290" t="s">
        <v>1763</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1764</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1804</v>
      </c>
      <c r="E831" s="1306"/>
      <c r="F831" s="1306"/>
      <c r="G831" s="3"/>
      <c r="I831" s="490"/>
    </row>
    <row r="832" spans="1:9" ht="14.25" customHeight="1">
      <c r="A832" s="175"/>
      <c r="B832" s="175"/>
      <c r="C832" s="354"/>
      <c r="D832" s="1263" t="s">
        <v>1765</v>
      </c>
      <c r="E832" s="1263"/>
      <c r="F832" s="1263"/>
      <c r="G832" s="3"/>
      <c r="I832" s="490"/>
    </row>
    <row r="833" spans="1:9" ht="12.75" customHeight="1">
      <c r="A833" s="175"/>
      <c r="B833" s="175"/>
      <c r="C833" s="354"/>
      <c r="D833" s="441"/>
      <c r="E833" s="441"/>
      <c r="F833" s="441"/>
      <c r="G833" s="3"/>
      <c r="I833" s="490"/>
    </row>
    <row r="834" spans="1:9" ht="12.75" customHeight="1">
      <c r="A834" s="354"/>
      <c r="B834" s="485" t="s">
        <v>307</v>
      </c>
      <c r="C834" s="989"/>
      <c r="D834" s="1263" t="s">
        <v>1766</v>
      </c>
      <c r="E834" s="1263"/>
      <c r="F834" s="1263"/>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2077</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307</v>
      </c>
      <c r="C848" s="989"/>
      <c r="D848" s="1263" t="s">
        <v>1767</v>
      </c>
      <c r="E848" s="1263"/>
      <c r="F848" s="1263"/>
      <c r="G848" s="3"/>
      <c r="I848" s="490" t="s">
        <v>1884</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307</v>
      </c>
      <c r="C852" s="989"/>
      <c r="D852" s="1306" t="s">
        <v>1768</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2070</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307</v>
      </c>
      <c r="C861" s="989"/>
      <c r="D861" s="1263" t="s">
        <v>1769</v>
      </c>
      <c r="E861" s="1263"/>
      <c r="F861" s="1263"/>
      <c r="G861" s="3"/>
      <c r="I861" s="490" t="s">
        <v>1882</v>
      </c>
    </row>
    <row r="862" spans="1:9" ht="12.75" customHeight="1">
      <c r="A862" s="175"/>
      <c r="B862" s="175"/>
      <c r="C862" s="989"/>
      <c r="D862" s="1263" t="s">
        <v>1770</v>
      </c>
      <c r="E862" s="1263"/>
      <c r="F862" s="1263"/>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3" t="s">
        <v>1771</v>
      </c>
      <c r="E865" s="1263"/>
      <c r="F865" s="1263"/>
      <c r="G865" s="3"/>
      <c r="I865" s="490" t="s">
        <v>1885</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1805</v>
      </c>
      <c r="E872" s="1296"/>
      <c r="F872" s="1296"/>
      <c r="G872" s="988"/>
      <c r="I872" s="490"/>
    </row>
    <row r="873" spans="1:9" ht="12.75" customHeight="1">
      <c r="A873" s="354"/>
      <c r="B873" s="354"/>
      <c r="C873" s="174"/>
      <c r="D873" s="1305" t="s">
        <v>1773</v>
      </c>
      <c r="E873" s="1305"/>
      <c r="F873" s="1305"/>
      <c r="G873" s="988"/>
      <c r="I873" s="490"/>
    </row>
    <row r="874" spans="1:9" ht="12.75" customHeight="1">
      <c r="A874" s="354"/>
      <c r="B874" s="354"/>
      <c r="C874" s="174"/>
      <c r="D874" s="995"/>
      <c r="E874" s="995"/>
      <c r="F874" s="995"/>
      <c r="G874" s="988"/>
      <c r="I874" s="490"/>
    </row>
    <row r="875" spans="1:9" ht="12.75" customHeight="1">
      <c r="A875" s="175"/>
      <c r="B875" s="485" t="s">
        <v>307</v>
      </c>
      <c r="C875" s="354"/>
      <c r="D875" s="1289" t="s">
        <v>1774</v>
      </c>
      <c r="E875" s="1289"/>
      <c r="F875" s="1289"/>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3" t="s">
        <v>1775</v>
      </c>
      <c r="E878" s="1312"/>
      <c r="F878" s="1312"/>
      <c r="G878" s="3"/>
      <c r="I878" s="490" t="s">
        <v>1885</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307</v>
      </c>
      <c r="C881" s="354"/>
      <c r="D881" s="1313" t="s">
        <v>1776</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2070</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307</v>
      </c>
      <c r="C890" s="354"/>
      <c r="D890" s="1288" t="s">
        <v>1769</v>
      </c>
      <c r="E890" s="1288"/>
      <c r="F890" s="1288"/>
      <c r="G890" s="988"/>
      <c r="I890" s="490"/>
    </row>
    <row r="891" spans="1:9" ht="12.75" customHeight="1">
      <c r="A891" s="175"/>
      <c r="B891" s="175"/>
      <c r="C891" s="354"/>
      <c r="D891" s="1288" t="s">
        <v>1770</v>
      </c>
      <c r="E891" s="1288"/>
      <c r="F891" s="1288"/>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3" t="s">
        <v>1771</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1806</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1812</v>
      </c>
      <c r="E901" s="1284"/>
      <c r="F901" s="1284"/>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1807</v>
      </c>
      <c r="E905" s="1284"/>
      <c r="F905" s="1284"/>
      <c r="G905" s="988"/>
      <c r="I905" s="490"/>
    </row>
    <row r="906" spans="1:9" ht="12.75" customHeight="1">
      <c r="A906" s="172"/>
      <c r="B906" s="172"/>
      <c r="C906" s="172"/>
      <c r="D906" s="1289" t="s">
        <v>1777</v>
      </c>
      <c r="E906" s="1289"/>
      <c r="F906" s="1289"/>
      <c r="G906" s="988"/>
      <c r="I906" s="490"/>
    </row>
    <row r="907" spans="1:9" ht="12.75" customHeight="1">
      <c r="A907" s="989"/>
      <c r="B907" s="989"/>
      <c r="C907" s="989"/>
      <c r="D907" s="2"/>
      <c r="E907" s="988"/>
      <c r="F907" s="988"/>
      <c r="G907" s="988"/>
      <c r="I907" s="490"/>
    </row>
    <row r="908" spans="1:9" ht="12.75" customHeight="1">
      <c r="A908" s="175"/>
      <c r="B908" s="485" t="s">
        <v>307</v>
      </c>
      <c r="C908" s="354"/>
      <c r="D908" s="1263" t="s">
        <v>1781</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1780</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307</v>
      </c>
      <c r="C913" s="174"/>
      <c r="D913" s="1274" t="s">
        <v>1778</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307</v>
      </c>
      <c r="C922" s="989"/>
      <c r="D922" s="1263" t="s">
        <v>1782</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307</v>
      </c>
      <c r="C925" s="989"/>
      <c r="D925" s="1290" t="s">
        <v>1783</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307</v>
      </c>
      <c r="C930" s="989"/>
      <c r="D930" s="1289" t="s">
        <v>2071</v>
      </c>
      <c r="E930" s="1289"/>
      <c r="F930" s="1289"/>
      <c r="G930" s="988"/>
      <c r="I930" s="490"/>
    </row>
    <row r="931" spans="1:9" ht="12.75" customHeight="1">
      <c r="A931" s="989"/>
      <c r="B931" s="989"/>
      <c r="C931" s="989"/>
      <c r="D931" s="118"/>
      <c r="E931" s="988"/>
      <c r="F931" s="988"/>
      <c r="G931" s="988"/>
      <c r="I931" s="490"/>
    </row>
    <row r="932" spans="1:9" ht="12.75" customHeight="1">
      <c r="A932" s="989"/>
      <c r="B932" s="485" t="s">
        <v>307</v>
      </c>
      <c r="C932" s="989"/>
      <c r="D932" s="1289" t="s">
        <v>2072</v>
      </c>
      <c r="E932" s="1289"/>
      <c r="F932" s="1289"/>
      <c r="G932" s="988"/>
      <c r="I932" s="490"/>
    </row>
    <row r="933" spans="1:9" ht="12.75" customHeight="1">
      <c r="A933" s="174"/>
      <c r="B933" s="174"/>
      <c r="C933" s="174"/>
      <c r="D933" s="2"/>
      <c r="E933" s="3"/>
      <c r="F933" s="988"/>
      <c r="G933" s="988"/>
      <c r="I933" s="490"/>
    </row>
    <row r="934" spans="1:9" ht="12.75" customHeight="1">
      <c r="A934" s="997"/>
      <c r="B934" s="485" t="s">
        <v>307</v>
      </c>
      <c r="C934" s="998"/>
      <c r="D934" s="1274" t="s">
        <v>1779</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307</v>
      </c>
      <c r="C944" s="174"/>
      <c r="D944" s="1298" t="s">
        <v>1888</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3" t="s">
        <v>2139</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90" t="s">
        <v>1784</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4" t="s">
        <v>1887</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1785</v>
      </c>
      <c r="E969" s="1296"/>
      <c r="F969" s="1296"/>
      <c r="G969" s="3"/>
      <c r="I969" s="490"/>
    </row>
    <row r="970" spans="1:9" ht="12.75" customHeight="1">
      <c r="A970" s="175"/>
      <c r="B970" s="485" t="s">
        <v>307</v>
      </c>
      <c r="C970" s="354"/>
      <c r="D970" s="1289" t="s">
        <v>1808</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1786</v>
      </c>
      <c r="E972" s="1296"/>
      <c r="F972" s="1296"/>
      <c r="G972"/>
      <c r="I972" s="490"/>
    </row>
    <row r="973" spans="1:9" ht="12.75" customHeight="1">
      <c r="A973" s="175"/>
      <c r="B973" s="485" t="s">
        <v>307</v>
      </c>
      <c r="C973" s="354"/>
      <c r="D973" s="1263" t="s">
        <v>2073</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1787</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1809</v>
      </c>
      <c r="E991" s="1296"/>
      <c r="F991" s="1296"/>
      <c r="G991" s="3"/>
      <c r="I991" s="490"/>
    </row>
    <row r="992" spans="1:9" ht="12.75" customHeight="1">
      <c r="A992" s="172"/>
      <c r="B992" s="172"/>
      <c r="C992" s="172"/>
      <c r="D992" s="1289" t="s">
        <v>1788</v>
      </c>
      <c r="E992" s="1289"/>
      <c r="F992" s="1289"/>
      <c r="G992" s="3"/>
      <c r="I992" s="490"/>
    </row>
    <row r="993" spans="1:9" ht="12.75" customHeight="1">
      <c r="A993" s="172"/>
      <c r="B993" s="172"/>
      <c r="C993" s="172"/>
      <c r="D993" s="3"/>
      <c r="E993" s="3"/>
      <c r="F993" s="988"/>
      <c r="G993"/>
      <c r="I993" s="490"/>
    </row>
    <row r="994" spans="1:9" ht="12.75" customHeight="1">
      <c r="A994" s="354"/>
      <c r="B994" s="485" t="s">
        <v>307</v>
      </c>
      <c r="C994" s="354"/>
      <c r="D994" s="1297" t="s">
        <v>1917</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1918</v>
      </c>
      <c r="F996" s="1038"/>
      <c r="G996"/>
      <c r="I996" s="490"/>
    </row>
    <row r="997" spans="1:9" ht="12.75" customHeight="1">
      <c r="A997" s="354"/>
      <c r="B997" s="354"/>
      <c r="C997" s="354"/>
      <c r="D997" s="1268" t="s">
        <v>1916</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3" t="s">
        <v>1789</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3" t="s">
        <v>2232</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9" t="s">
        <v>1790</v>
      </c>
      <c r="E1010" s="1289"/>
      <c r="F1010" s="1289"/>
      <c r="G1010"/>
      <c r="I1010" s="490"/>
    </row>
    <row r="1011" spans="1:9" ht="12.75" customHeight="1">
      <c r="A1011" s="354"/>
      <c r="B1011" s="354"/>
      <c r="C1011" s="354"/>
      <c r="D1011" s="3"/>
      <c r="E1011" s="3"/>
      <c r="F1011" s="3"/>
      <c r="G1011"/>
      <c r="I1011" s="490"/>
    </row>
    <row r="1012" spans="1:9" ht="12.75" customHeight="1">
      <c r="A1012" s="175"/>
      <c r="B1012" s="485" t="s">
        <v>307</v>
      </c>
      <c r="C1012" s="354"/>
      <c r="D1012" s="1289" t="s">
        <v>1791</v>
      </c>
      <c r="E1012" s="1289"/>
      <c r="F1012" s="1289"/>
      <c r="G1012"/>
      <c r="I1012" s="490"/>
    </row>
    <row r="1013" spans="1:9" ht="12.75" customHeight="1">
      <c r="A1013" s="354"/>
      <c r="B1013" s="354"/>
      <c r="C1013" s="354"/>
      <c r="D1013" s="118"/>
      <c r="E1013" s="3"/>
      <c r="F1013" s="3"/>
      <c r="G1013"/>
      <c r="I1013" s="490"/>
    </row>
    <row r="1014" spans="1:9" ht="12.75" customHeight="1">
      <c r="A1014" s="175"/>
      <c r="B1014" s="485" t="s">
        <v>307</v>
      </c>
      <c r="C1014" s="354"/>
      <c r="D1014" s="1289" t="s">
        <v>1792</v>
      </c>
      <c r="E1014" s="1289"/>
      <c r="F1014" s="1289"/>
      <c r="G1014"/>
      <c r="I1014" s="490"/>
    </row>
    <row r="1015" spans="1:9" ht="12.75" customHeight="1">
      <c r="A1015" s="354"/>
      <c r="B1015" s="354"/>
      <c r="C1015" s="354"/>
      <c r="D1015" s="118"/>
      <c r="E1015" s="3"/>
      <c r="F1015" s="3"/>
      <c r="G1015"/>
      <c r="I1015" s="490"/>
    </row>
    <row r="1016" spans="1:9" ht="12.75" customHeight="1">
      <c r="A1016" s="175"/>
      <c r="B1016" s="485" t="s">
        <v>307</v>
      </c>
      <c r="C1016" s="354"/>
      <c r="D1016" s="1263" t="s">
        <v>1793</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5" t="s">
        <v>1794</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5" t="s">
        <v>1795</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9" t="s">
        <v>1796</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3" t="s">
        <v>1797</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1798</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1799</v>
      </c>
      <c r="E1031" s="1284"/>
      <c r="F1031" s="1284"/>
      <c r="G1031" s="3"/>
      <c r="I1031" s="490"/>
    </row>
    <row r="1032" spans="1:9" ht="12.75" customHeight="1">
      <c r="A1032" s="354"/>
      <c r="B1032" s="354"/>
      <c r="C1032" s="354"/>
      <c r="D1032" s="1285" t="s">
        <v>1800</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1814</v>
      </c>
      <c r="E1034" s="1284"/>
      <c r="F1034" s="1284"/>
      <c r="G1034" s="3"/>
      <c r="I1034" s="490"/>
    </row>
    <row r="1035" spans="1:9" ht="12.75" customHeight="1">
      <c r="A1035" s="354"/>
      <c r="B1035" s="485" t="s">
        <v>307</v>
      </c>
      <c r="C1035" s="354"/>
      <c r="D1035" s="1285" t="s">
        <v>1272</v>
      </c>
      <c r="E1035" s="1285"/>
      <c r="F1035" s="1285"/>
      <c r="G1035" s="3"/>
      <c r="I1035" s="490"/>
    </row>
    <row r="1036" spans="1:9" ht="12.75" customHeight="1">
      <c r="A1036" s="354"/>
      <c r="B1036" s="175"/>
      <c r="C1036" s="354"/>
      <c r="D1036" s="1285" t="s">
        <v>1801</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1810</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1273</v>
      </c>
      <c r="E1040" s="1283"/>
      <c r="F1040" s="1283"/>
      <c r="G1040" s="3"/>
      <c r="I1040" s="490"/>
    </row>
    <row r="1041" spans="1:9" ht="12.75" hidden="1" customHeight="1">
      <c r="A1041" s="118"/>
      <c r="B1041" s="485" t="s">
        <v>307</v>
      </c>
      <c r="D1041" s="1282" t="s">
        <v>1272</v>
      </c>
      <c r="E1041" s="1282"/>
      <c r="F1041" s="1282"/>
      <c r="G1041" s="3"/>
      <c r="I1041" s="490"/>
    </row>
    <row r="1042" spans="1:9" ht="12.75" hidden="1" customHeight="1">
      <c r="A1042" s="118"/>
      <c r="B1042" s="402"/>
      <c r="D1042" s="1282" t="s">
        <v>1811</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1067</v>
      </c>
      <c r="E1044" s="1287"/>
      <c r="F1044" s="1287"/>
      <c r="G1044" s="3"/>
      <c r="I1044" s="490"/>
    </row>
    <row r="1045" spans="1:9" ht="12.75" customHeight="1">
      <c r="A1045" s="319"/>
      <c r="B1045" s="319"/>
      <c r="C1045" s="319"/>
      <c r="D1045" s="1288" t="s">
        <v>2250</v>
      </c>
      <c r="E1045" s="1288"/>
      <c r="F1045" s="1288"/>
      <c r="G1045" s="98"/>
      <c r="I1045" s="490"/>
    </row>
    <row r="1046" spans="1:9" ht="12.75" customHeight="1">
      <c r="A1046" s="175"/>
      <c r="B1046" s="485" t="s">
        <v>307</v>
      </c>
      <c r="C1046" s="354"/>
      <c r="D1046" s="1288" t="s">
        <v>986</v>
      </c>
      <c r="E1046" s="1288"/>
      <c r="F1046" s="1288"/>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6" t="s">
        <v>1831</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2" t="s">
        <v>1815</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2" t="s">
        <v>1819</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1820</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3" t="s">
        <v>1830</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1" t="s">
        <v>1822</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7" t="s">
        <v>2283</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1832</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3" t="s">
        <v>1931</v>
      </c>
      <c r="E1101" s="1293"/>
      <c r="F1101" s="1293"/>
      <c r="I1101" s="490"/>
    </row>
    <row r="1102" spans="1:9">
      <c r="A1102" s="402"/>
      <c r="B1102" s="402"/>
      <c r="C1102" s="402"/>
      <c r="D1102" s="1293"/>
      <c r="E1102" s="1293"/>
      <c r="F1102" s="1293"/>
      <c r="I1102" s="490"/>
    </row>
    <row r="1103" spans="1:9">
      <c r="A1103" s="402"/>
      <c r="B1103" s="402"/>
      <c r="C1103" s="402"/>
      <c r="D1103" s="1294" t="s">
        <v>2145</v>
      </c>
      <c r="E1103" s="1263"/>
      <c r="F1103" s="1263"/>
      <c r="I1103" s="490"/>
    </row>
    <row r="1104" spans="1:9">
      <c r="A1104" s="402"/>
      <c r="B1104" s="402"/>
      <c r="C1104" s="402"/>
      <c r="D1104" s="527"/>
      <c r="I1104" s="490"/>
    </row>
    <row r="1105" spans="1:9">
      <c r="A1105" s="402"/>
      <c r="B1105" s="485" t="s">
        <v>307</v>
      </c>
      <c r="C1105" s="402"/>
      <c r="D1105" s="1291" t="s">
        <v>1833</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307</v>
      </c>
      <c r="C1108" s="402"/>
      <c r="D1108" s="1291" t="s">
        <v>1889</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307</v>
      </c>
      <c r="C1115" s="402"/>
      <c r="D1115" s="1291" t="s">
        <v>1834</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307</v>
      </c>
      <c r="C1119" s="402"/>
      <c r="D1119" s="1268" t="s">
        <v>1890</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307</v>
      </c>
      <c r="C1123" s="402"/>
      <c r="D1123" s="1263" t="s">
        <v>1891</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99" workbookViewId="0">
      <selection activeCell="H18" sqref="H18:AJ1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City of Los Angeles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35</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2512</v>
      </c>
      <c r="BE8" s="1249">
        <f>SUMIF($AC$718:$AC$752,"&lt;=35%",$G$718:G$752)-SUM($BE$5:BE7)</f>
        <v>0</v>
      </c>
    </row>
    <row r="9" spans="1:58" ht="12.95" customHeight="1">
      <c r="A9" s="1374" t="s">
        <v>2078</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2504</v>
      </c>
      <c r="BE9" s="1249">
        <f>SUMIF($AC$718:$AC$752,"&lt;=40%",$G$718:G$752)-SUM($BE$5:BE8)</f>
        <v>0</v>
      </c>
    </row>
    <row r="10" spans="1:58" ht="12.95" customHeight="1">
      <c r="A10" s="1374" t="s">
        <v>2461</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2513</v>
      </c>
      <c r="BE10" s="1249">
        <f>SUMIF($AC$718:$AC$752,"&lt;=45%",$G$718:G$752)-SUM($BE$5:BE9)</f>
        <v>0</v>
      </c>
    </row>
    <row r="11" spans="1:58" ht="12.95" customHeight="1">
      <c r="A11" s="1374" t="s">
        <v>2607</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2505</v>
      </c>
      <c r="BE11" s="1249">
        <f>SUMIF($AC$718:$AC$752,"&lt;=50%",$G$718:G$752)-SUM($BE$5:BE10)</f>
        <v>15</v>
      </c>
    </row>
    <row r="12" spans="1:58" ht="12.95" customHeight="1">
      <c r="A12" s="1413" t="s">
        <v>2612</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2514</v>
      </c>
      <c r="BE12" s="1249">
        <f>SUMIF($AC$718:$AC$752,"&lt;=55%",$G$718:G$752)-SUM($BE$5:BE11)</f>
        <v>0</v>
      </c>
    </row>
    <row r="13" spans="1:58" ht="12.9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2506</v>
      </c>
      <c r="BE13" s="1249">
        <f>SUMIF($AC$718:$AC$752,"&lt;=60%",$G$718:G$752)-SUM($BE$5:BE12)</f>
        <v>46</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2507</v>
      </c>
      <c r="BE14" s="1249">
        <f>SUMIF($AC$718:$AC$752,"&lt;=70%",$G$718:G$752)-SUM($BE$5:BE13)</f>
        <v>62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1" t="s">
        <v>2711</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657</v>
      </c>
      <c r="BE16" s="1249" t="str">
        <f>Application!H18</f>
        <v>West Hills Family Apartments</v>
      </c>
    </row>
    <row r="17" spans="1:58" ht="12.95" customHeight="1">
      <c r="BD17" s="1247" t="s">
        <v>2521</v>
      </c>
      <c r="BE17" s="1249">
        <f>Application!AA934</f>
        <v>0</v>
      </c>
    </row>
    <row r="18" spans="1:58" ht="12.95" customHeight="1">
      <c r="A18" s="57" t="s">
        <v>101</v>
      </c>
      <c r="C18" s="4"/>
      <c r="D18" s="4"/>
      <c r="E18" s="4"/>
      <c r="F18" s="4"/>
      <c r="G18" s="4"/>
      <c r="H18" s="1418" t="s">
        <v>2613</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2522</v>
      </c>
      <c r="BE18" s="1249">
        <f>'CalHFA Addendum'!N11</f>
        <v>0</v>
      </c>
    </row>
    <row r="19" spans="1:58" ht="12.95" customHeight="1">
      <c r="BD19" s="1247" t="s">
        <v>2523</v>
      </c>
      <c r="BE19" s="1249">
        <f>Application!M26</f>
        <v>3729893</v>
      </c>
    </row>
    <row r="20" spans="1:58" ht="12.95"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2524</v>
      </c>
      <c r="BE20" s="1249">
        <f>Application!M27</f>
        <v>18397337</v>
      </c>
    </row>
    <row r="21" spans="1:58" ht="12.95" customHeight="1">
      <c r="A21" s="1423" t="s">
        <v>1010</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2525</v>
      </c>
      <c r="BE21" s="1249">
        <f>Application!AM554</f>
        <v>53000000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97949000</v>
      </c>
      <c r="BF22" s="3" t="s">
        <v>2598</v>
      </c>
    </row>
    <row r="23" spans="1:58" ht="12.9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2526</v>
      </c>
      <c r="BE23" s="1249">
        <f>'Sources and Uses Budget'!B4</f>
        <v>3500000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2527</v>
      </c>
      <c r="BE24" s="1249">
        <f>Application!AG450</f>
        <v>222596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420">
        <f>'Basis &amp; Credits'!AB56</f>
        <v>3729893</v>
      </c>
      <c r="N26" s="1420"/>
      <c r="O26" s="1420"/>
      <c r="P26" s="1420"/>
      <c r="Q26" s="1420"/>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5">
        <f>'Basis &amp; Credits'!AB78</f>
        <v>18397337</v>
      </c>
      <c r="N27" s="1355"/>
      <c r="O27" s="1355"/>
      <c r="P27" s="1355"/>
      <c r="Q27" s="1355"/>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5" t="s">
        <v>2149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2530</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3" t="s">
        <v>546</v>
      </c>
      <c r="P33" s="1333"/>
      <c r="Q33" s="1416" t="s">
        <v>2150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2599</v>
      </c>
      <c r="BE33" s="1249" t="str">
        <f>Application!D220</f>
        <v>City of Los Angeles</v>
      </c>
    </row>
    <row r="34" spans="1:57" ht="12.95" customHeight="1">
      <c r="A34" s="1415" t="s">
        <v>2151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2533</v>
      </c>
      <c r="BE34" s="1249" t="str">
        <f>Application!I185</f>
        <v>7566 Woodlake Avenue</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2534</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2535</v>
      </c>
      <c r="BE36" s="1249" t="str">
        <f>Application!I189</f>
        <v>Los Angeles</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2536</v>
      </c>
      <c r="BE37" s="1249" t="str">
        <f>Application!T189</f>
        <v>Los Angeles</v>
      </c>
    </row>
    <row r="38" spans="1:57" ht="12.95" customHeight="1">
      <c r="A38" s="3"/>
      <c r="AZ38" s="20"/>
      <c r="BD38" s="1248" t="s">
        <v>2537</v>
      </c>
      <c r="BE38" s="1249">
        <f>Application!I190</f>
        <v>91304</v>
      </c>
    </row>
    <row r="39" spans="1:57" ht="12.9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2538</v>
      </c>
      <c r="BE39" s="1249">
        <f>Application!AG437</f>
        <v>160</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158</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2539</v>
      </c>
      <c r="BE42" s="1251">
        <f>Application!AC753</f>
        <v>0.56329113924050622</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2540</v>
      </c>
      <c r="BE43" s="1251">
        <f>Application!AH753</f>
        <v>0.56331361573969962</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2541</v>
      </c>
      <c r="BE44" s="1249">
        <f>Application!AC454</f>
        <v>612181.25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2543</v>
      </c>
      <c r="BE46" s="1249"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2544</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2545</v>
      </c>
      <c r="BE48" s="1249" t="str">
        <f>Application!M243</f>
        <v xml:space="preserve">Las Palmas Foundation </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2546</v>
      </c>
      <c r="BE49" s="1249" t="str">
        <f>Application!M246</f>
        <v>Noami Pines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2548</v>
      </c>
      <c r="BE51" s="1249" t="str">
        <f>Application!M251</f>
        <v>Elysian West Hills, LLC</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2549</v>
      </c>
      <c r="BE52" s="1249" t="str">
        <f>Application!M254</f>
        <v>Brian Mikail</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Capstone Equities, LLC // Elysian Housing, LLC</v>
      </c>
    </row>
    <row r="54" spans="1:57" ht="12.9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2551</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2552</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2553</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2554</v>
      </c>
      <c r="BE57" s="1249" t="str">
        <f>Application!H287</f>
        <v>Las Palmas Foundation</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2555</v>
      </c>
      <c r="BE58" s="1249" t="str">
        <f>Application!H288</f>
        <v>531 Encinitas Blvd, Suite 206</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Encinitas, CA 92024</v>
      </c>
    </row>
    <row r="60" spans="1:57" ht="12.9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2557</v>
      </c>
      <c r="BE60" s="1249" t="str">
        <f>Application!H290</f>
        <v>Noami Pines</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2558</v>
      </c>
      <c r="BE61" s="1249" t="str">
        <f>Application!H293</f>
        <v>npines@laspalmashousing.com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0.92</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0.93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7" t="s">
        <v>2158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2596</v>
      </c>
      <c r="BE65" s="1249" t="str">
        <f>Z205</f>
        <v>$500M</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2561</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7" t="s">
        <v>2159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2564</v>
      </c>
      <c r="BE69" s="1249" t="str">
        <f>Application!W700</f>
        <v>Califonia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5" t="s">
        <v>2160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2567</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8" t="s">
        <v>2161</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2570</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2571</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7" t="s">
        <v>2162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2574</v>
      </c>
      <c r="BE79" s="1249">
        <f>'Points System'!AF815</f>
        <v>10</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2575</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2578</v>
      </c>
      <c r="BE83" s="1253">
        <f>'Tie Breaker'!H5</f>
        <v>0.82237625433214423</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2579</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Matthew W. Szabo</v>
      </c>
    </row>
    <row r="86" spans="1:57" ht="12.9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2581</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2582</v>
      </c>
      <c r="BE87" s="1249" t="str">
        <f>Application!O156</f>
        <v>200 N Main St. Suite 1500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 xml:space="preserve">Los Angeles, CA </v>
      </c>
    </row>
    <row r="89" spans="1:57" ht="12.95" customHeight="1">
      <c r="A89" s="1787" t="s">
        <v>2165</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2584</v>
      </c>
      <c r="BE89" s="1249">
        <f>Application!O158</f>
        <v>90012</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2585</v>
      </c>
      <c r="BE90" s="1249" t="str">
        <f>Application!H16</f>
        <v>Las Palmas Foundation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531 Encinitas Blvd, Suite 206</v>
      </c>
    </row>
    <row r="92" spans="1:57" ht="12.95" customHeight="1">
      <c r="A92" s="1788" t="s">
        <v>2166</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2587</v>
      </c>
      <c r="BE92" s="1249" t="str">
        <f>Application!M234</f>
        <v>Encinitas</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2588</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2589</v>
      </c>
      <c r="BE94" s="1249">
        <f>Application!AC234</f>
        <v>92024</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2590</v>
      </c>
      <c r="BE95" s="1249" t="str">
        <f>Application!M235</f>
        <v>Noami Pines</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2591</v>
      </c>
      <c r="BE96" s="1249" t="str">
        <f>Application!M237</f>
        <v>npines@laspalmashousing.com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2592</v>
      </c>
      <c r="BE97" s="1249" t="str">
        <f>Application!M248</f>
        <v>npines@laspalmashousing.com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2593</v>
      </c>
      <c r="BE98" s="1249" t="str">
        <f>Application!M256</f>
        <v>bmikail@capstoneequities.com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9" t="s">
        <v>2167</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2595</v>
      </c>
      <c r="BE100" s="1249" t="str">
        <f>Application!L279</f>
        <v>sstrain@sabelhauslaw.com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2600</v>
      </c>
      <c r="BE101">
        <f>'Sources and Uses Budget'!C105</f>
        <v>97949000</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2601</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2168</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v>19</v>
      </c>
      <c r="H113" s="1790"/>
      <c r="I113" s="3" t="s">
        <v>182</v>
      </c>
      <c r="L113" s="1790" t="s">
        <v>2712</v>
      </c>
      <c r="M113" s="1790"/>
      <c r="N113" s="1790"/>
      <c r="O113" s="1790"/>
      <c r="P113" s="1796" t="s">
        <v>2242</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495</v>
      </c>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2629</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Los Angeles</v>
      </c>
      <c r="DH122" s="1656"/>
      <c r="DI122" s="1656"/>
      <c r="DJ122" s="1656"/>
      <c r="DK122" s="1656"/>
      <c r="DL122" s="1656"/>
      <c r="DM122" s="1657"/>
    </row>
    <row r="123" spans="1:117" ht="12.95" customHeight="1">
      <c r="A123" s="3"/>
      <c r="B123" s="3"/>
      <c r="T123" s="3"/>
      <c r="U123" s="3"/>
      <c r="V123" s="3"/>
      <c r="W123" s="3"/>
      <c r="X123" s="3"/>
      <c r="Y123" s="1790" t="s">
        <v>2734</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8" t="s">
        <v>876</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59" t="s">
        <v>2614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3" t="s">
        <v>2615</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2616</v>
      </c>
      <c r="P157" s="1419"/>
      <c r="Q157" s="1419"/>
      <c r="R157" s="1419"/>
      <c r="S157" s="1419"/>
      <c r="T157" s="1419"/>
      <c r="U157" s="1419"/>
      <c r="V157" s="1419"/>
      <c r="W157" s="1419"/>
      <c r="X157" s="141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90012</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2617</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2618</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2" t="s">
        <v>2218</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4" t="s">
        <v>540</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3" t="s">
        <v>670</v>
      </c>
      <c r="V175" s="1333"/>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7"/>
      <c r="V176" s="1427"/>
      <c r="W176" s="1" t="s">
        <v>306</v>
      </c>
      <c r="X176" s="1785"/>
      <c r="Y176" s="178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3"/>
      <c r="S177" s="1333"/>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4"/>
      <c r="AG178" s="1784"/>
      <c r="AH178" s="1" t="s">
        <v>306</v>
      </c>
      <c r="AI178" s="1805"/>
      <c r="AJ178" s="1805"/>
      <c r="AK178" s="1805"/>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3" t="s">
        <v>670</v>
      </c>
      <c r="Y180" s="13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60" t="str">
        <f>H18</f>
        <v>West Hills Family Apartments</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50" t="s">
        <v>2619</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8" t="s">
        <v>495</v>
      </c>
      <c r="J189" s="1373"/>
      <c r="K189" s="1373"/>
      <c r="L189" s="1373"/>
      <c r="M189" s="1373"/>
      <c r="N189" s="1373"/>
      <c r="O189" s="1373"/>
      <c r="P189" s="1373"/>
      <c r="Q189" t="s">
        <v>583</v>
      </c>
      <c r="T189" s="1373" t="s">
        <v>495</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50">
        <v>91304</v>
      </c>
      <c r="J190" s="1350"/>
      <c r="K190" s="1350"/>
      <c r="L190" s="1350"/>
      <c r="M190" s="1350"/>
      <c r="N190" s="1350"/>
      <c r="O190" t="s">
        <v>586</v>
      </c>
      <c r="T190" s="1791" t="s">
        <v>2620</v>
      </c>
      <c r="U190" s="1791"/>
      <c r="V190" s="1791"/>
      <c r="W190" s="1791"/>
      <c r="X190" s="1791"/>
      <c r="Y190" s="1791"/>
      <c r="Z190" s="1791"/>
      <c r="AA190" s="1791"/>
      <c r="AB190" s="1791"/>
      <c r="AC190" s="1791"/>
      <c r="AD190" s="1791"/>
      <c r="AE190" s="179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4" t="s">
        <v>2621</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5" t="s">
        <v>1971</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3" t="s">
        <v>670</v>
      </c>
      <c r="AI194" s="1333"/>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3" t="s">
        <v>670</v>
      </c>
      <c r="U195" s="1333"/>
      <c r="W195" t="s">
        <v>685</v>
      </c>
      <c r="AH195" s="1333">
        <v>32</v>
      </c>
      <c r="AI195" s="1333"/>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4" t="s">
        <v>670</v>
      </c>
      <c r="U196" s="1404"/>
      <c r="W196" t="s">
        <v>686</v>
      </c>
      <c r="AH196" s="1333">
        <v>46</v>
      </c>
      <c r="AI196" s="13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4" t="s">
        <v>670</v>
      </c>
      <c r="U197" s="1404"/>
      <c r="W197" t="s">
        <v>687</v>
      </c>
      <c r="AH197" s="1333">
        <v>27</v>
      </c>
      <c r="AI197" s="13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4">
        <v>0</v>
      </c>
      <c r="U198" s="1404"/>
      <c r="V198"/>
      <c r="X198" s="1415" t="s">
        <v>2516</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3" t="s">
        <v>670</v>
      </c>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3" t="s">
        <v>670</v>
      </c>
      <c r="U200" s="13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60" t="s">
        <v>385</v>
      </c>
      <c r="E204" s="1360"/>
      <c r="F204" s="1360"/>
      <c r="G204" s="1360"/>
      <c r="H204" s="1360"/>
      <c r="I204" s="1360"/>
      <c r="J204" s="1360"/>
      <c r="K204" s="1360"/>
      <c r="L204" s="1360"/>
      <c r="M204" s="1360"/>
      <c r="P204" s="1803">
        <f>M26</f>
        <v>3729893</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2" t="s">
        <v>1248</v>
      </c>
      <c r="E205" s="1360"/>
      <c r="F205" s="1360"/>
      <c r="G205" s="1360"/>
      <c r="H205" s="1360"/>
      <c r="I205" s="1360"/>
      <c r="J205" s="1360"/>
      <c r="K205" s="1360"/>
      <c r="L205" s="1360"/>
      <c r="M205" s="1360"/>
      <c r="P205" s="1783">
        <f>M27</f>
        <v>18397337</v>
      </c>
      <c r="Q205" s="1783"/>
      <c r="R205" s="1783"/>
      <c r="S205" s="1783"/>
      <c r="T205" s="1783"/>
      <c r="U205" s="1783"/>
      <c r="V205" s="28"/>
      <c r="W205" s="3" t="s">
        <v>1721</v>
      </c>
      <c r="Z205" s="1810" t="s">
        <v>2221</v>
      </c>
      <c r="AA205" s="1810"/>
      <c r="AB205" s="1810"/>
      <c r="AC205" s="1810"/>
      <c r="AD205" s="1810"/>
      <c r="AE205" s="1810"/>
      <c r="AF205" s="1810"/>
      <c r="AG205" s="1810"/>
      <c r="AH205" s="1810"/>
      <c r="AI205" s="1810"/>
      <c r="AJ205" s="1810"/>
      <c r="AK205" s="1810"/>
      <c r="AL205" s="1810"/>
      <c r="AM205" s="1810"/>
      <c r="AN205" s="1810"/>
      <c r="AP205" s="1336"/>
      <c r="AQ205" s="133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9" t="s">
        <v>2622</v>
      </c>
      <c r="E208" s="1419"/>
      <c r="F208" s="1419"/>
      <c r="G208" s="1419"/>
      <c r="H208" s="1419"/>
      <c r="I208" s="1419"/>
      <c r="J208" s="1419"/>
      <c r="K208" s="1419"/>
      <c r="L208" s="1419"/>
      <c r="M208" s="1419"/>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9" t="s">
        <v>1042</v>
      </c>
      <c r="E211" s="1419"/>
      <c r="F211" s="1419"/>
      <c r="G211" s="1419"/>
      <c r="H211" s="1419"/>
      <c r="I211" s="1419"/>
      <c r="J211" s="1419"/>
      <c r="K211" s="1419"/>
      <c r="L211" s="1419"/>
      <c r="M211" s="141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3">
        <v>0</v>
      </c>
      <c r="R212" s="1333"/>
      <c r="T212" s="1797">
        <f>IFERROR(Q212/AG440,0)</f>
        <v>0</v>
      </c>
      <c r="U212" s="179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9" t="s">
        <v>876</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1" t="s">
        <v>876</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4" t="s">
        <v>541</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546</v>
      </c>
      <c r="AJ227" s="13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2" t="str">
        <f>H16</f>
        <v>Las Palmas Foundation</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5" customHeight="1">
      <c r="D233" s="4" t="s">
        <v>85</v>
      </c>
      <c r="E233" s="4"/>
      <c r="F233" s="4"/>
      <c r="G233" s="4"/>
      <c r="H233" s="4"/>
      <c r="I233" s="4"/>
      <c r="J233" s="4"/>
      <c r="K233" s="4"/>
      <c r="M233" s="1418" t="s">
        <v>2627</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539</v>
      </c>
      <c r="BG233" s="241">
        <f>IF(AND(AND($M$249="nonprofit",$M$257="for profit",$M$265="nonprofit")),2,0)</f>
        <v>0</v>
      </c>
    </row>
    <row r="234" spans="1:59" ht="12.95" customHeight="1">
      <c r="D234" s="4" t="s">
        <v>581</v>
      </c>
      <c r="E234" s="4"/>
      <c r="M234" s="1418" t="s">
        <v>2628</v>
      </c>
      <c r="N234" s="1419"/>
      <c r="O234" s="1419"/>
      <c r="P234" s="1419"/>
      <c r="Q234" s="1419"/>
      <c r="R234" s="1419"/>
      <c r="S234" s="1419"/>
      <c r="T234" s="1419"/>
      <c r="V234" s="33" t="s">
        <v>86</v>
      </c>
      <c r="W234" s="1459" t="s">
        <v>2624</v>
      </c>
      <c r="X234" s="1438"/>
      <c r="Y234" s="4" t="s">
        <v>584</v>
      </c>
      <c r="AC234" s="1419">
        <v>92024</v>
      </c>
      <c r="AD234" s="1419"/>
      <c r="AE234" s="1419"/>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8" t="s">
        <v>2629</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2.95" customHeight="1">
      <c r="D236" s="4" t="s">
        <v>88</v>
      </c>
      <c r="E236" s="4"/>
      <c r="F236" s="4"/>
      <c r="M236" s="1347" t="s">
        <v>2630</v>
      </c>
      <c r="N236" s="1348"/>
      <c r="O236" s="1348"/>
      <c r="P236" s="1348"/>
      <c r="Q236" s="1348"/>
      <c r="R236" s="1348"/>
      <c r="S236" s="4" t="s">
        <v>206</v>
      </c>
      <c r="T236" s="4"/>
      <c r="U236" s="1438"/>
      <c r="V236" s="1438"/>
      <c r="W236" s="1438"/>
      <c r="X236" s="4" t="s">
        <v>89</v>
      </c>
      <c r="Z236" s="1348"/>
      <c r="AA236" s="1348"/>
      <c r="AB236" s="1348"/>
      <c r="AC236" s="1348"/>
      <c r="AD236" s="1348"/>
      <c r="AE236" s="1348"/>
      <c r="AU236" s="4"/>
      <c r="AV236" s="4"/>
      <c r="AW236" s="4"/>
      <c r="AX236" s="4"/>
      <c r="AY236" s="4"/>
      <c r="AZ236" s="4"/>
      <c r="BB236" s="204" t="s">
        <v>538</v>
      </c>
      <c r="BG236" s="241">
        <f>IF(AND(AND($M$249="nonprofit",$M$257="nonprofit",$M$265="(select one)")),1,0)</f>
        <v>0</v>
      </c>
    </row>
    <row r="237" spans="1:59" ht="12.95" customHeight="1">
      <c r="D237" s="4" t="s">
        <v>90</v>
      </c>
      <c r="E237" s="4"/>
      <c r="F237" s="4"/>
      <c r="M237" s="1786" t="s">
        <v>2631</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50" t="s">
        <v>377</v>
      </c>
      <c r="N238" s="1350"/>
      <c r="O238" s="1350"/>
      <c r="P238" s="1350"/>
      <c r="Q238" s="1350"/>
      <c r="R238" s="1350"/>
      <c r="S238" s="1350"/>
      <c r="T238" s="1350"/>
      <c r="U238" s="204" t="s">
        <v>907</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1" t="s">
        <v>2625</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2626</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2627</v>
      </c>
      <c r="N244" s="1419"/>
      <c r="O244" s="1419"/>
      <c r="P244" s="1419"/>
      <c r="Q244" s="1419"/>
      <c r="R244" s="1419"/>
      <c r="S244" s="1419"/>
      <c r="T244" s="1419"/>
      <c r="U244" s="1419"/>
      <c r="V244" s="1419"/>
      <c r="W244" s="1419"/>
      <c r="X244" s="1419"/>
      <c r="Y244" s="1419"/>
      <c r="Z244" s="1419"/>
      <c r="AA244" s="1419"/>
      <c r="AB244" s="1419"/>
      <c r="AC244" s="1419"/>
      <c r="AD244" s="1419"/>
      <c r="AE244" s="1419"/>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8" t="s">
        <v>2628</v>
      </c>
      <c r="N245" s="1419"/>
      <c r="O245" s="1419"/>
      <c r="P245" s="1419"/>
      <c r="Q245" s="1419"/>
      <c r="R245" s="1419"/>
      <c r="S245" s="1419"/>
      <c r="T245" s="1419"/>
      <c r="V245" s="33" t="s">
        <v>86</v>
      </c>
      <c r="W245" s="1459" t="s">
        <v>2624</v>
      </c>
      <c r="X245" s="1438"/>
      <c r="Y245" s="4" t="s">
        <v>584</v>
      </c>
      <c r="AC245" s="1419">
        <v>92024</v>
      </c>
      <c r="AD245" s="1419"/>
      <c r="AE245" s="1419"/>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8" t="s">
        <v>2629</v>
      </c>
      <c r="N246" s="1419"/>
      <c r="O246" s="1419"/>
      <c r="P246" s="1419"/>
      <c r="Q246" s="1419"/>
      <c r="R246" s="1419"/>
      <c r="S246" s="1419"/>
      <c r="T246" s="1419"/>
      <c r="U246" s="1419"/>
      <c r="V246" s="1419"/>
      <c r="W246" s="1419"/>
      <c r="X246" s="1419"/>
      <c r="Y246" s="1419"/>
      <c r="Z246" s="1419"/>
      <c r="AA246" s="1419"/>
      <c r="AB246" s="1419"/>
      <c r="AC246" s="1419"/>
      <c r="AD246" s="1419"/>
      <c r="AE246" s="1419"/>
      <c r="AH246" s="1780">
        <v>1E-3</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t="s">
        <v>2630</v>
      </c>
      <c r="N247" s="1348"/>
      <c r="O247" s="1348"/>
      <c r="P247" s="1348"/>
      <c r="Q247" s="1348"/>
      <c r="R247" s="1348"/>
      <c r="S247" s="4" t="s">
        <v>206</v>
      </c>
      <c r="T247" s="4"/>
      <c r="U247" s="1438"/>
      <c r="V247" s="1438"/>
      <c r="W247" s="1438"/>
      <c r="X247" s="4" t="s">
        <v>89</v>
      </c>
      <c r="Z247" s="1348"/>
      <c r="AA247" s="1348"/>
      <c r="AB247" s="1348"/>
      <c r="AC247" s="1348"/>
      <c r="AD247" s="1348"/>
      <c r="AE247" s="1348"/>
      <c r="AU247" s="4"/>
      <c r="AV247" s="4"/>
      <c r="AW247" s="4"/>
      <c r="AX247" s="4"/>
      <c r="AY247" s="4"/>
      <c r="BG247">
        <v>0</v>
      </c>
      <c r="BH247" s="3" t="str">
        <f>""</f>
        <v/>
      </c>
      <c r="BN247" s="34"/>
    </row>
    <row r="248" spans="1:67" ht="12.95" customHeight="1">
      <c r="A248" s="19"/>
      <c r="B248" s="4"/>
      <c r="C248" s="4"/>
      <c r="D248" s="4" t="s">
        <v>90</v>
      </c>
      <c r="E248" s="4"/>
      <c r="F248" s="4"/>
      <c r="M248" s="1786" t="s">
        <v>2631</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0" t="s">
        <v>535</v>
      </c>
      <c r="N249" s="1350"/>
      <c r="O249" s="1350"/>
      <c r="P249" s="1350"/>
      <c r="Q249" s="1350"/>
      <c r="R249" s="1350"/>
      <c r="S249" s="1350"/>
      <c r="T249" s="1350"/>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t="s">
        <v>2632</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2633</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2623</v>
      </c>
      <c r="N252" s="1419"/>
      <c r="O252" s="1419"/>
      <c r="P252" s="1419"/>
      <c r="Q252" s="1419"/>
      <c r="R252" s="1419"/>
      <c r="S252" s="1419"/>
      <c r="T252" s="1419"/>
      <c r="U252" s="1419"/>
      <c r="V252" s="1419"/>
      <c r="W252" s="1419"/>
      <c r="X252" s="1419"/>
      <c r="Y252" s="1419"/>
      <c r="Z252" s="1419"/>
      <c r="AA252" s="1419"/>
      <c r="AB252" s="1419"/>
      <c r="AC252" s="1419"/>
      <c r="AD252" s="1419"/>
      <c r="AE252" s="1419"/>
      <c r="AF252" s="3" t="s">
        <v>1180</v>
      </c>
      <c r="AL252" s="4"/>
      <c r="AM252" s="4"/>
      <c r="AN252" s="4"/>
      <c r="AO252" s="4"/>
      <c r="AP252" s="4"/>
      <c r="AQ252" s="4"/>
      <c r="AR252" s="4"/>
      <c r="AS252" s="4"/>
      <c r="AT252" s="4"/>
      <c r="BN252" s="34"/>
    </row>
    <row r="253" spans="1:67" ht="12.95" customHeight="1">
      <c r="A253" s="19"/>
      <c r="B253" s="4"/>
      <c r="C253" s="4"/>
      <c r="D253" s="4" t="s">
        <v>581</v>
      </c>
      <c r="E253" s="4"/>
      <c r="M253" s="1418" t="s">
        <v>495</v>
      </c>
      <c r="N253" s="1419"/>
      <c r="O253" s="1419"/>
      <c r="P253" s="1419"/>
      <c r="Q253" s="1419"/>
      <c r="R253" s="1419"/>
      <c r="S253" s="1419"/>
      <c r="T253" s="1419"/>
      <c r="V253" s="33" t="s">
        <v>86</v>
      </c>
      <c r="W253" s="1459" t="s">
        <v>2624</v>
      </c>
      <c r="X253" s="1438"/>
      <c r="Y253" s="4" t="s">
        <v>584</v>
      </c>
      <c r="AC253" s="1419">
        <v>90004</v>
      </c>
      <c r="AD253" s="1419"/>
      <c r="AE253" s="1419"/>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2715</v>
      </c>
      <c r="N254" s="1419"/>
      <c r="O254" s="1419"/>
      <c r="P254" s="1419"/>
      <c r="Q254" s="1419"/>
      <c r="R254" s="1419"/>
      <c r="S254" s="1419"/>
      <c r="T254" s="1419"/>
      <c r="U254" s="1419"/>
      <c r="V254" s="1419"/>
      <c r="W254" s="1419"/>
      <c r="X254" s="1419"/>
      <c r="Y254" s="1419"/>
      <c r="Z254" s="1419"/>
      <c r="AA254" s="1419"/>
      <c r="AB254" s="1419"/>
      <c r="AC254" s="1419"/>
      <c r="AD254" s="1419"/>
      <c r="AE254" s="1419"/>
      <c r="AH254" s="1780">
        <v>8.9999999999999993E-3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7" t="s">
        <v>2718</v>
      </c>
      <c r="N255" s="1348"/>
      <c r="O255" s="1348"/>
      <c r="P255" s="1348"/>
      <c r="Q255" s="1348"/>
      <c r="R255" s="1348"/>
      <c r="S255" s="4" t="s">
        <v>206</v>
      </c>
      <c r="T255" s="4"/>
      <c r="U255" s="1438"/>
      <c r="V255" s="1438"/>
      <c r="W255" s="1438"/>
      <c r="X255" s="4" t="s">
        <v>89</v>
      </c>
      <c r="Z255" s="1348"/>
      <c r="AA255" s="1348"/>
      <c r="AB255" s="1348"/>
      <c r="AC255" s="1348"/>
      <c r="AD255" s="1348"/>
      <c r="AE255" s="1348"/>
      <c r="AU255" s="4"/>
      <c r="AV255" s="4"/>
      <c r="AW255" s="4"/>
      <c r="AX255" s="4"/>
      <c r="AY255" s="4"/>
      <c r="BN255" s="34"/>
    </row>
    <row r="256" spans="1:67" ht="12.95" customHeight="1">
      <c r="A256" s="19"/>
      <c r="B256" s="4"/>
      <c r="C256" s="4"/>
      <c r="D256" s="4" t="s">
        <v>90</v>
      </c>
      <c r="E256" s="4"/>
      <c r="F256" s="4"/>
      <c r="M256" s="1786" t="s">
        <v>2717</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0" t="s">
        <v>537</v>
      </c>
      <c r="N257" s="1350"/>
      <c r="O257" s="1350"/>
      <c r="P257" s="1350"/>
      <c r="Q257" s="1350"/>
      <c r="R257" s="1350"/>
      <c r="S257" s="1350"/>
      <c r="T257" s="1350"/>
      <c r="U257" s="204" t="s">
        <v>907</v>
      </c>
      <c r="V257" s="204"/>
      <c r="W257" s="204"/>
      <c r="X257" s="204"/>
      <c r="Y257" s="204"/>
      <c r="Z257" s="204"/>
      <c r="AA257" s="1777" t="s">
        <v>2738</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9"/>
      <c r="N261" s="1419"/>
      <c r="O261" s="1419"/>
      <c r="P261" s="1419"/>
      <c r="Q261" s="1419"/>
      <c r="R261" s="1419"/>
      <c r="S261" s="1419"/>
      <c r="T261" s="1419"/>
      <c r="V261" s="33" t="s">
        <v>86</v>
      </c>
      <c r="W261" s="1438"/>
      <c r="X261" s="1438"/>
      <c r="Y261" s="4" t="s">
        <v>584</v>
      </c>
      <c r="AC261" s="1419"/>
      <c r="AD261" s="1419"/>
      <c r="AE261" s="1419"/>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8"/>
      <c r="N263" s="1348"/>
      <c r="O263" s="1348"/>
      <c r="P263" s="1348"/>
      <c r="Q263" s="1348"/>
      <c r="R263" s="1348"/>
      <c r="S263" s="4" t="s">
        <v>206</v>
      </c>
      <c r="T263" s="4"/>
      <c r="U263" s="1438"/>
      <c r="V263" s="1438"/>
      <c r="W263" s="1438"/>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0" t="s">
        <v>307</v>
      </c>
      <c r="N265" s="1350"/>
      <c r="O265" s="1350"/>
      <c r="P265" s="1350"/>
      <c r="Q265" s="1350"/>
      <c r="R265" s="1350"/>
      <c r="S265" s="1350"/>
      <c r="T265" s="1350"/>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9" t="s">
        <v>173</v>
      </c>
      <c r="E270" s="1419"/>
      <c r="F270" s="1419"/>
      <c r="G270" s="1419"/>
      <c r="H270" s="1419"/>
      <c r="J270" t="s">
        <v>279</v>
      </c>
      <c r="X270" s="1692">
        <v>45870</v>
      </c>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2634</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2635</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581</v>
      </c>
      <c r="E276" s="4"/>
      <c r="L276" s="1418" t="s">
        <v>68</v>
      </c>
      <c r="M276" s="1419"/>
      <c r="N276" s="1419"/>
      <c r="O276" s="1419"/>
      <c r="P276" s="1419"/>
      <c r="Q276" s="1419"/>
      <c r="R276" s="1419"/>
      <c r="S276" s="1419"/>
      <c r="U276" s="33" t="s">
        <v>86</v>
      </c>
      <c r="V276" s="1459" t="s">
        <v>2624</v>
      </c>
      <c r="W276" s="1438"/>
      <c r="X276" s="4" t="s">
        <v>584</v>
      </c>
      <c r="AB276" s="1419">
        <v>95811</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2636</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347" t="s">
        <v>2637</v>
      </c>
      <c r="M278" s="1348"/>
      <c r="N278" s="1348"/>
      <c r="O278" s="1348"/>
      <c r="P278" s="1348"/>
      <c r="Q278" s="1348"/>
      <c r="R278" s="4" t="s">
        <v>206</v>
      </c>
      <c r="S278" s="4"/>
      <c r="T278" s="1438"/>
      <c r="U278" s="1438"/>
      <c r="V278" s="1438"/>
      <c r="W278" s="4" t="s">
        <v>89</v>
      </c>
      <c r="Y278" s="1348"/>
      <c r="Z278" s="1348"/>
      <c r="AA278" s="1348"/>
      <c r="AB278" s="1348"/>
      <c r="AC278" s="1348"/>
      <c r="AD278" s="1348"/>
    </row>
    <row r="279" spans="1:51" ht="12.95" customHeight="1">
      <c r="D279" s="4" t="s">
        <v>90</v>
      </c>
      <c r="E279" s="4"/>
      <c r="F279" s="4"/>
      <c r="L279" s="1786" t="s">
        <v>2638</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459" t="s">
        <v>2639</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4" t="s">
        <v>542</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8" t="s">
        <v>2711</v>
      </c>
      <c r="I287" s="1373"/>
      <c r="J287" s="1373"/>
      <c r="K287" s="1373"/>
      <c r="L287" s="1373"/>
      <c r="M287" s="1373"/>
      <c r="N287" s="1373"/>
      <c r="O287" s="1373"/>
      <c r="P287" s="1373"/>
      <c r="Q287" s="1373"/>
      <c r="R287" s="1373"/>
      <c r="T287" s="3" t="s">
        <v>568</v>
      </c>
      <c r="V287" s="3"/>
      <c r="W287" s="3"/>
      <c r="X287" s="3"/>
      <c r="Y287" s="3"/>
      <c r="AA287" s="1373" t="s">
        <v>2656</v>
      </c>
      <c r="AB287" s="1373"/>
      <c r="AC287" s="1373"/>
      <c r="AD287" s="1373"/>
      <c r="AE287" s="1373"/>
      <c r="AF287" s="1373"/>
      <c r="AG287" s="1373"/>
      <c r="AH287" s="1373"/>
      <c r="AI287" s="1373"/>
      <c r="AJ287" s="1373"/>
      <c r="AK287" s="1373"/>
    </row>
    <row r="288" spans="1:51" ht="12.95" customHeight="1">
      <c r="B288" s="3" t="s">
        <v>472</v>
      </c>
      <c r="C288" s="3"/>
      <c r="D288" s="3"/>
      <c r="E288" s="3"/>
      <c r="F288" s="3"/>
      <c r="H288" s="1350" t="s">
        <v>2627</v>
      </c>
      <c r="I288" s="1350"/>
      <c r="J288" s="1350"/>
      <c r="K288" s="1350"/>
      <c r="L288" s="1350"/>
      <c r="M288" s="1350"/>
      <c r="N288" s="1350"/>
      <c r="O288" s="1350"/>
      <c r="P288" s="1350"/>
      <c r="Q288" s="1350"/>
      <c r="R288" s="1350"/>
      <c r="T288" s="3" t="s">
        <v>472</v>
      </c>
      <c r="V288" s="3"/>
      <c r="W288" s="3"/>
      <c r="X288" s="3"/>
      <c r="Y288" s="3"/>
      <c r="AA288" s="1350" t="s">
        <v>2657</v>
      </c>
      <c r="AB288" s="1350"/>
      <c r="AC288" s="1350"/>
      <c r="AD288" s="1350"/>
      <c r="AE288" s="1350"/>
      <c r="AF288" s="1350"/>
      <c r="AG288" s="1350"/>
      <c r="AH288" s="1350"/>
      <c r="AI288" s="1350"/>
      <c r="AJ288" s="1350"/>
      <c r="AK288" s="1350"/>
    </row>
    <row r="289" spans="2:37" ht="12.95" customHeight="1">
      <c r="B289" s="3" t="s">
        <v>473</v>
      </c>
      <c r="C289" s="3"/>
      <c r="D289" s="3"/>
      <c r="E289" s="3"/>
      <c r="F289" s="3"/>
      <c r="H289" s="1459" t="s">
        <v>2719</v>
      </c>
      <c r="I289" s="1350"/>
      <c r="J289" s="1350"/>
      <c r="K289" s="1350"/>
      <c r="L289" s="1350"/>
      <c r="M289" s="1350"/>
      <c r="N289" s="1350"/>
      <c r="O289" s="1350"/>
      <c r="P289" s="1350"/>
      <c r="Q289" s="1350"/>
      <c r="R289" s="1350"/>
      <c r="T289" s="3" t="s">
        <v>75</v>
      </c>
      <c r="V289" s="3"/>
      <c r="W289" s="3"/>
      <c r="X289" s="3"/>
      <c r="Y289" s="3"/>
      <c r="AA289" s="1350" t="s">
        <v>2658</v>
      </c>
      <c r="AB289" s="1350"/>
      <c r="AC289" s="1350"/>
      <c r="AD289" s="1350"/>
      <c r="AE289" s="1350"/>
      <c r="AF289" s="1350"/>
      <c r="AG289" s="1350"/>
      <c r="AH289" s="1350"/>
      <c r="AI289" s="1350"/>
      <c r="AJ289" s="1350"/>
      <c r="AK289" s="1350"/>
    </row>
    <row r="290" spans="2:37" ht="12.95" customHeight="1">
      <c r="B290" s="3" t="s">
        <v>87</v>
      </c>
      <c r="C290" s="3"/>
      <c r="D290" s="3"/>
      <c r="E290" s="3"/>
      <c r="F290" s="3"/>
      <c r="H290" s="1459" t="s">
        <v>2629</v>
      </c>
      <c r="I290" s="1350"/>
      <c r="J290" s="1350"/>
      <c r="K290" s="1350"/>
      <c r="L290" s="1350"/>
      <c r="M290" s="1350"/>
      <c r="N290" s="1350"/>
      <c r="O290" s="1350"/>
      <c r="P290" s="1350"/>
      <c r="Q290" s="1350"/>
      <c r="R290" s="1350"/>
      <c r="T290" s="3" t="s">
        <v>87</v>
      </c>
      <c r="V290" s="3"/>
      <c r="W290" s="3"/>
      <c r="X290" s="3"/>
      <c r="Y290" s="3"/>
      <c r="AA290" s="1350" t="s">
        <v>2659</v>
      </c>
      <c r="AB290" s="1350"/>
      <c r="AC290" s="1350"/>
      <c r="AD290" s="1350"/>
      <c r="AE290" s="1350"/>
      <c r="AF290" s="1350"/>
      <c r="AG290" s="1350"/>
      <c r="AH290" s="1350"/>
      <c r="AI290" s="1350"/>
      <c r="AJ290" s="1350"/>
      <c r="AK290" s="1350"/>
    </row>
    <row r="291" spans="2:37" ht="12.95" customHeight="1">
      <c r="B291" s="3" t="s">
        <v>88</v>
      </c>
      <c r="C291" s="3"/>
      <c r="D291" s="3"/>
      <c r="E291" s="3"/>
      <c r="F291" s="3"/>
      <c r="G291" s="3"/>
      <c r="H291" s="1770" t="s">
        <v>2630</v>
      </c>
      <c r="I291" s="1425"/>
      <c r="J291" s="1425"/>
      <c r="K291" s="1425"/>
      <c r="L291" s="1425"/>
      <c r="M291" s="1425"/>
      <c r="N291" s="4" t="s">
        <v>206</v>
      </c>
      <c r="O291" s="4"/>
      <c r="P291" s="1419"/>
      <c r="Q291" s="1419"/>
      <c r="R291" s="1419"/>
      <c r="S291" s="3"/>
      <c r="T291" s="3" t="s">
        <v>88</v>
      </c>
      <c r="V291" s="3"/>
      <c r="W291" s="3"/>
      <c r="X291" s="3"/>
      <c r="Y291" s="3"/>
      <c r="AA291" s="1770" t="s">
        <v>2660</v>
      </c>
      <c r="AB291" s="1425"/>
      <c r="AC291" s="1425"/>
      <c r="AD291" s="1425"/>
      <c r="AE291" s="1425"/>
      <c r="AF291" s="1425"/>
      <c r="AG291" s="4" t="s">
        <v>206</v>
      </c>
      <c r="AH291" s="4"/>
      <c r="AI291" s="1419"/>
      <c r="AJ291" s="1419"/>
      <c r="AK291" s="1419"/>
    </row>
    <row r="292" spans="2:37" ht="12.95"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2.95" customHeight="1">
      <c r="B293" s="3" t="s">
        <v>76</v>
      </c>
      <c r="C293" s="3"/>
      <c r="D293" s="3"/>
      <c r="E293" s="3"/>
      <c r="F293" s="3"/>
      <c r="G293" s="3"/>
      <c r="H293" s="1350" t="s">
        <v>2631</v>
      </c>
      <c r="I293" s="1350"/>
      <c r="J293" s="1350"/>
      <c r="K293" s="1350"/>
      <c r="L293" s="1350"/>
      <c r="M293" s="1350"/>
      <c r="N293" s="1373"/>
      <c r="O293" s="1373"/>
      <c r="P293" s="1373"/>
      <c r="Q293" s="1373"/>
      <c r="R293" s="1373"/>
      <c r="S293" s="3"/>
      <c r="T293" s="3" t="s">
        <v>76</v>
      </c>
      <c r="V293" s="3"/>
      <c r="W293" s="3"/>
      <c r="X293" s="3"/>
      <c r="Y293" s="3"/>
      <c r="AA293" s="1350" t="s">
        <v>2661</v>
      </c>
      <c r="AB293" s="1350"/>
      <c r="AC293" s="1350"/>
      <c r="AD293" s="1350"/>
      <c r="AE293" s="1350"/>
      <c r="AF293" s="1350"/>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3" t="s">
        <v>2634</v>
      </c>
      <c r="I295" s="1373"/>
      <c r="J295" s="1373"/>
      <c r="K295" s="1373"/>
      <c r="L295" s="1373"/>
      <c r="M295" s="1373"/>
      <c r="N295" s="1373"/>
      <c r="O295" s="1373"/>
      <c r="P295" s="1373"/>
      <c r="Q295" s="1373"/>
      <c r="R295" s="1373"/>
      <c r="T295" s="3" t="s">
        <v>364</v>
      </c>
      <c r="V295" s="3"/>
      <c r="W295" s="3"/>
      <c r="X295" s="3"/>
      <c r="Y295" s="3"/>
      <c r="AA295" s="1373" t="s">
        <v>2662</v>
      </c>
      <c r="AB295" s="1373"/>
      <c r="AC295" s="1373"/>
      <c r="AD295" s="1373"/>
      <c r="AE295" s="1373"/>
      <c r="AF295" s="1373"/>
      <c r="AG295" s="1373"/>
      <c r="AH295" s="1373"/>
      <c r="AI295" s="1373"/>
      <c r="AJ295" s="1373"/>
      <c r="AK295" s="1373"/>
    </row>
    <row r="296" spans="2:37" ht="12.95" customHeight="1">
      <c r="B296" s="3" t="s">
        <v>472</v>
      </c>
      <c r="C296" s="3"/>
      <c r="D296" s="3"/>
      <c r="E296" s="3"/>
      <c r="F296" s="3"/>
      <c r="H296" s="1350" t="s">
        <v>2635</v>
      </c>
      <c r="I296" s="1350"/>
      <c r="J296" s="1350"/>
      <c r="K296" s="1350"/>
      <c r="L296" s="1350"/>
      <c r="M296" s="1350"/>
      <c r="N296" s="1350"/>
      <c r="O296" s="1350"/>
      <c r="P296" s="1350"/>
      <c r="Q296" s="1350"/>
      <c r="R296" s="1350"/>
      <c r="T296" s="3" t="s">
        <v>472</v>
      </c>
      <c r="V296" s="3"/>
      <c r="W296" s="3"/>
      <c r="X296" s="3"/>
      <c r="Y296" s="3"/>
      <c r="AA296" s="1350" t="s">
        <v>2663</v>
      </c>
      <c r="AB296" s="1350"/>
      <c r="AC296" s="1350"/>
      <c r="AD296" s="1350"/>
      <c r="AE296" s="1350"/>
      <c r="AF296" s="1350"/>
      <c r="AG296" s="1350"/>
      <c r="AH296" s="1350"/>
      <c r="AI296" s="1350"/>
      <c r="AJ296" s="1350"/>
      <c r="AK296" s="1350"/>
    </row>
    <row r="297" spans="2:37" ht="12.95" customHeight="1">
      <c r="B297" s="3" t="s">
        <v>473</v>
      </c>
      <c r="C297" s="3"/>
      <c r="D297" s="3"/>
      <c r="E297" s="3"/>
      <c r="F297" s="3"/>
      <c r="H297" s="1350" t="s">
        <v>2641</v>
      </c>
      <c r="I297" s="1350"/>
      <c r="J297" s="1350"/>
      <c r="K297" s="1350"/>
      <c r="L297" s="1350"/>
      <c r="M297" s="1350"/>
      <c r="N297" s="1350"/>
      <c r="O297" s="1350"/>
      <c r="P297" s="1350"/>
      <c r="Q297" s="1350"/>
      <c r="R297" s="1350"/>
      <c r="T297" s="3" t="s">
        <v>75</v>
      </c>
      <c r="V297" s="3"/>
      <c r="W297" s="3"/>
      <c r="X297" s="3"/>
      <c r="Y297" s="3"/>
      <c r="AA297" s="1350" t="s">
        <v>2664</v>
      </c>
      <c r="AB297" s="1350"/>
      <c r="AC297" s="1350"/>
      <c r="AD297" s="1350"/>
      <c r="AE297" s="1350"/>
      <c r="AF297" s="1350"/>
      <c r="AG297" s="1350"/>
      <c r="AH297" s="1350"/>
      <c r="AI297" s="1350"/>
      <c r="AJ297" s="1350"/>
      <c r="AK297" s="1350"/>
    </row>
    <row r="298" spans="2:37" ht="12.95" customHeight="1">
      <c r="B298" s="3" t="s">
        <v>87</v>
      </c>
      <c r="C298" s="3"/>
      <c r="D298" s="3"/>
      <c r="E298" s="3"/>
      <c r="F298" s="3"/>
      <c r="H298" s="1459" t="s">
        <v>2636</v>
      </c>
      <c r="I298" s="1350"/>
      <c r="J298" s="1350"/>
      <c r="K298" s="1350"/>
      <c r="L298" s="1350"/>
      <c r="M298" s="1350"/>
      <c r="N298" s="1350"/>
      <c r="O298" s="1350"/>
      <c r="P298" s="1350"/>
      <c r="Q298" s="1350"/>
      <c r="R298" s="1350"/>
      <c r="T298" s="3" t="s">
        <v>87</v>
      </c>
      <c r="V298" s="3"/>
      <c r="W298" s="3"/>
      <c r="X298" s="3"/>
      <c r="Y298" s="3"/>
      <c r="AA298" s="1350" t="s">
        <v>2665</v>
      </c>
      <c r="AB298" s="1350"/>
      <c r="AC298" s="1350"/>
      <c r="AD298" s="1350"/>
      <c r="AE298" s="1350"/>
      <c r="AF298" s="1350"/>
      <c r="AG298" s="1350"/>
      <c r="AH298" s="1350"/>
      <c r="AI298" s="1350"/>
      <c r="AJ298" s="1350"/>
      <c r="AK298" s="1350"/>
    </row>
    <row r="299" spans="2:37" ht="12.95" customHeight="1">
      <c r="B299" s="3" t="s">
        <v>88</v>
      </c>
      <c r="C299" s="3"/>
      <c r="D299" s="3"/>
      <c r="E299" s="3"/>
      <c r="F299" s="3"/>
      <c r="G299" s="3"/>
      <c r="H299" s="1425" t="s">
        <v>2637</v>
      </c>
      <c r="I299" s="1425"/>
      <c r="J299" s="1425"/>
      <c r="K299" s="1425"/>
      <c r="L299" s="1425"/>
      <c r="M299" s="1425"/>
      <c r="N299" s="4" t="s">
        <v>206</v>
      </c>
      <c r="O299" s="4"/>
      <c r="P299" s="1419"/>
      <c r="Q299" s="1419"/>
      <c r="R299" s="1419"/>
      <c r="S299" s="3"/>
      <c r="T299" s="3" t="s">
        <v>88</v>
      </c>
      <c r="V299" s="3"/>
      <c r="W299" s="3"/>
      <c r="X299" s="3"/>
      <c r="Y299" s="3"/>
      <c r="AA299" s="1770" t="s">
        <v>2666</v>
      </c>
      <c r="AB299" s="1425"/>
      <c r="AC299" s="1425"/>
      <c r="AD299" s="1425"/>
      <c r="AE299" s="1425"/>
      <c r="AF299" s="1425"/>
      <c r="AG299" s="4" t="s">
        <v>206</v>
      </c>
      <c r="AH299" s="4"/>
      <c r="AI299" s="1419"/>
      <c r="AJ299" s="1419"/>
      <c r="AK299" s="1419"/>
    </row>
    <row r="300" spans="2:37" ht="12.95"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2.95" customHeight="1">
      <c r="B301" s="3" t="s">
        <v>76</v>
      </c>
      <c r="C301" s="3"/>
      <c r="D301" s="3"/>
      <c r="E301" s="3"/>
      <c r="F301" s="3"/>
      <c r="G301" s="3"/>
      <c r="H301" s="1350" t="s">
        <v>2638</v>
      </c>
      <c r="I301" s="1350"/>
      <c r="J301" s="1350"/>
      <c r="K301" s="1350"/>
      <c r="L301" s="1350"/>
      <c r="M301" s="1350"/>
      <c r="N301" s="1373"/>
      <c r="O301" s="1373"/>
      <c r="P301" s="1373"/>
      <c r="Q301" s="1373"/>
      <c r="R301" s="1373"/>
      <c r="S301" s="3"/>
      <c r="T301" s="3" t="s">
        <v>76</v>
      </c>
      <c r="V301" s="3"/>
      <c r="W301" s="3"/>
      <c r="X301" s="3"/>
      <c r="Y301" s="3"/>
      <c r="AA301" s="1350" t="s">
        <v>2667</v>
      </c>
      <c r="AB301" s="1350"/>
      <c r="AC301" s="1350"/>
      <c r="AD301" s="1350"/>
      <c r="AE301" s="1350"/>
      <c r="AF301" s="1350"/>
      <c r="AG301" s="1373"/>
      <c r="AH301" s="1373"/>
      <c r="AI301" s="1373"/>
      <c r="AJ301" s="1373"/>
      <c r="AK301" s="1373"/>
    </row>
    <row r="302" spans="2:37" ht="12.95" customHeight="1"/>
    <row r="303" spans="2:37" ht="12.95" customHeight="1">
      <c r="B303" s="3" t="s">
        <v>77</v>
      </c>
      <c r="C303" s="3"/>
      <c r="D303" s="3"/>
      <c r="E303" s="3"/>
      <c r="F303" s="3"/>
      <c r="H303" s="1373" t="s">
        <v>2642</v>
      </c>
      <c r="I303" s="1373"/>
      <c r="J303" s="1373"/>
      <c r="K303" s="1373"/>
      <c r="L303" s="1373"/>
      <c r="M303" s="1373"/>
      <c r="N303" s="1373"/>
      <c r="O303" s="1373"/>
      <c r="P303" s="1373"/>
      <c r="Q303" s="1373"/>
      <c r="R303" s="1373"/>
      <c r="T303" s="4" t="s">
        <v>879</v>
      </c>
      <c r="V303" s="3"/>
      <c r="W303" s="3"/>
      <c r="X303" s="3"/>
      <c r="Y303" s="3"/>
      <c r="AA303" s="1373" t="s">
        <v>592</v>
      </c>
      <c r="AB303" s="1373"/>
      <c r="AC303" s="1373"/>
      <c r="AD303" s="1373"/>
      <c r="AE303" s="1373"/>
      <c r="AF303" s="1373"/>
      <c r="AG303" s="1373"/>
      <c r="AH303" s="1373"/>
      <c r="AI303" s="1373"/>
      <c r="AJ303" s="1373"/>
      <c r="AK303" s="1373"/>
    </row>
    <row r="304" spans="2:37" ht="12.95" customHeight="1">
      <c r="B304" s="3" t="s">
        <v>472</v>
      </c>
      <c r="C304" s="3"/>
      <c r="D304" s="3"/>
      <c r="E304" s="3"/>
      <c r="F304" s="3"/>
      <c r="H304" s="1350" t="s">
        <v>2643</v>
      </c>
      <c r="I304" s="1350"/>
      <c r="J304" s="1350"/>
      <c r="K304" s="1350"/>
      <c r="L304" s="1350"/>
      <c r="M304" s="1350"/>
      <c r="N304" s="1350"/>
      <c r="O304" s="1350"/>
      <c r="P304" s="1350"/>
      <c r="Q304" s="1350"/>
      <c r="R304" s="1350"/>
      <c r="T304" s="3" t="s">
        <v>472</v>
      </c>
      <c r="V304" s="3"/>
      <c r="W304" s="3"/>
      <c r="X304" s="3"/>
      <c r="Y304" s="3"/>
      <c r="AA304" s="1350"/>
      <c r="AB304" s="1350"/>
      <c r="AC304" s="1350"/>
      <c r="AD304" s="1350"/>
      <c r="AE304" s="1350"/>
      <c r="AF304" s="1350"/>
      <c r="AG304" s="1350"/>
      <c r="AH304" s="1350"/>
      <c r="AI304" s="1350"/>
      <c r="AJ304" s="1350"/>
      <c r="AK304" s="1350"/>
    </row>
    <row r="305" spans="2:37" ht="12.95" customHeight="1">
      <c r="B305" s="3" t="s">
        <v>473</v>
      </c>
      <c r="C305" s="3"/>
      <c r="D305" s="3"/>
      <c r="E305" s="3"/>
      <c r="F305" s="3"/>
      <c r="H305" s="1350" t="s">
        <v>2644</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2.95" customHeight="1">
      <c r="B306" s="3" t="s">
        <v>87</v>
      </c>
      <c r="C306" s="3"/>
      <c r="D306" s="3"/>
      <c r="E306" s="3"/>
      <c r="F306" s="3"/>
      <c r="H306" s="1350" t="s">
        <v>2645</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2.95" customHeight="1">
      <c r="B307" s="3" t="s">
        <v>88</v>
      </c>
      <c r="C307" s="3"/>
      <c r="D307" s="3"/>
      <c r="E307" s="3"/>
      <c r="F307" s="3"/>
      <c r="G307" s="3"/>
      <c r="H307" s="1770" t="s">
        <v>2646</v>
      </c>
      <c r="I307" s="1425"/>
      <c r="J307" s="1425"/>
      <c r="K307" s="1425"/>
      <c r="L307" s="1425"/>
      <c r="M307" s="1425"/>
      <c r="N307" s="4" t="s">
        <v>206</v>
      </c>
      <c r="O307" s="4"/>
      <c r="P307" s="1419"/>
      <c r="Q307" s="1419"/>
      <c r="R307" s="1419"/>
      <c r="S307" s="3"/>
      <c r="T307" s="3" t="s">
        <v>88</v>
      </c>
      <c r="V307" s="3"/>
      <c r="W307" s="3"/>
      <c r="X307" s="3"/>
      <c r="Y307" s="3"/>
      <c r="AA307" s="1425"/>
      <c r="AB307" s="1425"/>
      <c r="AC307" s="1425"/>
      <c r="AD307" s="1425"/>
      <c r="AE307" s="1425"/>
      <c r="AF307" s="1425"/>
      <c r="AG307" s="4" t="s">
        <v>206</v>
      </c>
      <c r="AH307" s="4"/>
      <c r="AI307" s="1419"/>
      <c r="AJ307" s="1419"/>
      <c r="AK307" s="1419"/>
    </row>
    <row r="308" spans="2:37" ht="12.95"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2.95" customHeight="1">
      <c r="B309" s="3" t="s">
        <v>76</v>
      </c>
      <c r="C309" s="3"/>
      <c r="D309" s="3"/>
      <c r="E309" s="3"/>
      <c r="F309" s="3"/>
      <c r="G309" s="3"/>
      <c r="H309" s="1350" t="s">
        <v>2647</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3" t="s">
        <v>2648</v>
      </c>
      <c r="I311" s="1373"/>
      <c r="J311" s="1373"/>
      <c r="K311" s="1373"/>
      <c r="L311" s="1373"/>
      <c r="M311" s="1373"/>
      <c r="N311" s="1373"/>
      <c r="O311" s="1373"/>
      <c r="P311" s="1373"/>
      <c r="Q311" s="1373"/>
      <c r="R311" s="1373"/>
      <c r="S311" s="3"/>
      <c r="T311" s="3" t="s">
        <v>365</v>
      </c>
      <c r="V311" s="3"/>
      <c r="W311" s="3"/>
      <c r="X311" s="3"/>
      <c r="Y311" s="3"/>
      <c r="AA311" s="1418" t="s">
        <v>2729</v>
      </c>
      <c r="AB311" s="1373"/>
      <c r="AC311" s="1373"/>
      <c r="AD311" s="1373"/>
      <c r="AE311" s="1373"/>
      <c r="AF311" s="1373"/>
      <c r="AG311" s="1373"/>
      <c r="AH311" s="1373"/>
      <c r="AI311" s="1373"/>
      <c r="AJ311" s="1373"/>
      <c r="AK311" s="1373"/>
    </row>
    <row r="312" spans="2:37" ht="12.95" customHeight="1">
      <c r="B312" s="3" t="s">
        <v>472</v>
      </c>
      <c r="C312" s="3"/>
      <c r="D312" s="3"/>
      <c r="E312" s="3"/>
      <c r="F312" s="3"/>
      <c r="H312" s="1350" t="s">
        <v>2649</v>
      </c>
      <c r="I312" s="1350"/>
      <c r="J312" s="1350"/>
      <c r="K312" s="1350"/>
      <c r="L312" s="1350"/>
      <c r="M312" s="1350"/>
      <c r="N312" s="1350"/>
      <c r="O312" s="1350"/>
      <c r="P312" s="1350"/>
      <c r="Q312" s="1350"/>
      <c r="R312" s="1350"/>
      <c r="S312" s="3"/>
      <c r="T312" s="3" t="s">
        <v>472</v>
      </c>
      <c r="V312" s="3"/>
      <c r="W312" s="3"/>
      <c r="X312" s="3"/>
      <c r="Y312" s="3"/>
      <c r="AA312" s="1459" t="s">
        <v>2732</v>
      </c>
      <c r="AB312" s="1350"/>
      <c r="AC312" s="1350"/>
      <c r="AD312" s="1350"/>
      <c r="AE312" s="1350"/>
      <c r="AF312" s="1350"/>
      <c r="AG312" s="1350"/>
      <c r="AH312" s="1350"/>
      <c r="AI312" s="1350"/>
      <c r="AJ312" s="1350"/>
      <c r="AK312" s="1350"/>
    </row>
    <row r="313" spans="2:37" ht="12.95" customHeight="1">
      <c r="B313" s="3" t="s">
        <v>473</v>
      </c>
      <c r="C313" s="3"/>
      <c r="D313" s="3"/>
      <c r="E313" s="3"/>
      <c r="F313" s="3"/>
      <c r="H313" s="1350" t="s">
        <v>2650</v>
      </c>
      <c r="I313" s="1350"/>
      <c r="J313" s="1350"/>
      <c r="K313" s="1350"/>
      <c r="L313" s="1350"/>
      <c r="M313" s="1350"/>
      <c r="N313" s="1350"/>
      <c r="O313" s="1350"/>
      <c r="P313" s="1350"/>
      <c r="Q313" s="1350"/>
      <c r="R313" s="1350"/>
      <c r="S313" s="3"/>
      <c r="T313" s="3" t="s">
        <v>75</v>
      </c>
      <c r="V313" s="3"/>
      <c r="W313" s="3"/>
      <c r="X313" s="3"/>
      <c r="Y313" s="3"/>
      <c r="AA313" s="1459" t="s">
        <v>2670</v>
      </c>
      <c r="AB313" s="1350"/>
      <c r="AC313" s="1350"/>
      <c r="AD313" s="1350"/>
      <c r="AE313" s="1350"/>
      <c r="AF313" s="1350"/>
      <c r="AG313" s="1350"/>
      <c r="AH313" s="1350"/>
      <c r="AI313" s="1350"/>
      <c r="AJ313" s="1350"/>
      <c r="AK313" s="1350"/>
    </row>
    <row r="314" spans="2:37" ht="12.95" customHeight="1">
      <c r="B314" s="3" t="s">
        <v>87</v>
      </c>
      <c r="C314" s="3"/>
      <c r="D314" s="3"/>
      <c r="E314" s="3"/>
      <c r="F314" s="3"/>
      <c r="H314" s="1350" t="s">
        <v>2651</v>
      </c>
      <c r="I314" s="1350"/>
      <c r="J314" s="1350"/>
      <c r="K314" s="1350"/>
      <c r="L314" s="1350"/>
      <c r="M314" s="1350"/>
      <c r="N314" s="1350"/>
      <c r="O314" s="1350"/>
      <c r="P314" s="1350"/>
      <c r="Q314" s="1350"/>
      <c r="R314" s="1350"/>
      <c r="S314" s="3"/>
      <c r="T314" s="3" t="s">
        <v>87</v>
      </c>
      <c r="V314" s="3"/>
      <c r="W314" s="3"/>
      <c r="X314" s="3"/>
      <c r="Y314" s="3"/>
      <c r="AA314" s="1459" t="s">
        <v>2731</v>
      </c>
      <c r="AB314" s="1350"/>
      <c r="AC314" s="1350"/>
      <c r="AD314" s="1350"/>
      <c r="AE314" s="1350"/>
      <c r="AF314" s="1350"/>
      <c r="AG314" s="1350"/>
      <c r="AH314" s="1350"/>
      <c r="AI314" s="1350"/>
      <c r="AJ314" s="1350"/>
      <c r="AK314" s="1350"/>
    </row>
    <row r="315" spans="2:37" ht="12.95" customHeight="1">
      <c r="B315" s="3" t="s">
        <v>88</v>
      </c>
      <c r="C315" s="3"/>
      <c r="D315" s="3"/>
      <c r="E315" s="3"/>
      <c r="F315" s="3"/>
      <c r="G315" s="3"/>
      <c r="H315" s="1770" t="s">
        <v>2652</v>
      </c>
      <c r="I315" s="1425"/>
      <c r="J315" s="1425"/>
      <c r="K315" s="1425"/>
      <c r="L315" s="1425"/>
      <c r="M315" s="1425"/>
      <c r="N315" s="4" t="s">
        <v>206</v>
      </c>
      <c r="O315" s="4"/>
      <c r="P315" s="1419"/>
      <c r="Q315" s="1419"/>
      <c r="R315" s="1419"/>
      <c r="S315" s="3"/>
      <c r="T315" s="3" t="s">
        <v>88</v>
      </c>
      <c r="V315" s="3"/>
      <c r="W315" s="3"/>
      <c r="X315" s="3"/>
      <c r="Y315" s="3"/>
      <c r="AA315" s="1770" t="s">
        <v>2733</v>
      </c>
      <c r="AB315" s="1425"/>
      <c r="AC315" s="1425"/>
      <c r="AD315" s="1425"/>
      <c r="AE315" s="1425"/>
      <c r="AF315" s="1425"/>
      <c r="AG315" s="4" t="s">
        <v>206</v>
      </c>
      <c r="AH315" s="4"/>
      <c r="AI315" s="1419"/>
      <c r="AJ315" s="1419"/>
      <c r="AK315" s="1419"/>
    </row>
    <row r="316" spans="2:37" ht="12.95"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2.95" customHeight="1">
      <c r="B317" s="3" t="s">
        <v>76</v>
      </c>
      <c r="C317" s="3"/>
      <c r="D317" s="3"/>
      <c r="E317" s="3"/>
      <c r="F317" s="3"/>
      <c r="G317" s="3"/>
      <c r="H317" s="1350" t="s">
        <v>2653</v>
      </c>
      <c r="I317" s="1350"/>
      <c r="J317" s="1350"/>
      <c r="K317" s="1350"/>
      <c r="L317" s="1350"/>
      <c r="M317" s="1350"/>
      <c r="N317" s="1373"/>
      <c r="O317" s="1373"/>
      <c r="P317" s="1373"/>
      <c r="Q317" s="1373"/>
      <c r="R317" s="1373"/>
      <c r="S317" s="3"/>
      <c r="T317" s="3" t="s">
        <v>76</v>
      </c>
      <c r="V317" s="3"/>
      <c r="W317" s="3"/>
      <c r="X317" s="3"/>
      <c r="Y317" s="3"/>
      <c r="AA317" s="1459" t="s">
        <v>2735</v>
      </c>
      <c r="AB317" s="1350"/>
      <c r="AC317" s="1350"/>
      <c r="AD317" s="1350"/>
      <c r="AE317" s="1350"/>
      <c r="AF317" s="1350"/>
      <c r="AG317" s="1373"/>
      <c r="AH317" s="1373"/>
      <c r="AI317" s="1373"/>
      <c r="AJ317" s="1373"/>
      <c r="AK317" s="1373"/>
    </row>
    <row r="318" spans="2:37" ht="12.95" customHeight="1"/>
    <row r="319" spans="2:37" ht="12.95" customHeight="1">
      <c r="B319" s="4" t="s">
        <v>909</v>
      </c>
      <c r="C319" s="3"/>
      <c r="D319" s="3"/>
      <c r="E319" s="3"/>
      <c r="F319" s="3"/>
      <c r="H319" s="1373" t="s">
        <v>2654</v>
      </c>
      <c r="I319" s="1373"/>
      <c r="J319" s="1373"/>
      <c r="K319" s="1373"/>
      <c r="L319" s="1373"/>
      <c r="M319" s="1373"/>
      <c r="N319" s="1373"/>
      <c r="O319" s="1373"/>
      <c r="P319" s="1373"/>
      <c r="Q319" s="1373"/>
      <c r="R319" s="1373"/>
      <c r="T319" s="3" t="s">
        <v>366</v>
      </c>
      <c r="V319" s="3"/>
      <c r="W319" s="3"/>
      <c r="X319" s="3"/>
      <c r="Y319" s="3"/>
      <c r="AA319" s="1373" t="s">
        <v>2668</v>
      </c>
      <c r="AB319" s="1373"/>
      <c r="AC319" s="1373"/>
      <c r="AD319" s="1373"/>
      <c r="AE319" s="1373"/>
      <c r="AF319" s="1373"/>
      <c r="AG319" s="1373"/>
      <c r="AH319" s="1373"/>
      <c r="AI319" s="1373"/>
      <c r="AJ319" s="1373"/>
      <c r="AK319" s="1373"/>
    </row>
    <row r="320" spans="2:37" ht="12.95" customHeight="1">
      <c r="B320" s="3" t="s">
        <v>472</v>
      </c>
      <c r="C320" s="3"/>
      <c r="D320" s="3"/>
      <c r="E320" s="3"/>
      <c r="F320" s="3"/>
      <c r="H320" s="1350" t="s">
        <v>2635</v>
      </c>
      <c r="I320" s="1350"/>
      <c r="J320" s="1350"/>
      <c r="K320" s="1350"/>
      <c r="L320" s="1350"/>
      <c r="M320" s="1350"/>
      <c r="N320" s="1350"/>
      <c r="O320" s="1350"/>
      <c r="P320" s="1350"/>
      <c r="Q320" s="1350"/>
      <c r="R320" s="1350"/>
      <c r="T320" s="3" t="s">
        <v>472</v>
      </c>
      <c r="V320" s="3"/>
      <c r="W320" s="3"/>
      <c r="X320" s="3"/>
      <c r="Y320" s="3"/>
      <c r="AA320" s="1350" t="s">
        <v>2669</v>
      </c>
      <c r="AB320" s="1350"/>
      <c r="AC320" s="1350"/>
      <c r="AD320" s="1350"/>
      <c r="AE320" s="1350"/>
      <c r="AF320" s="1350"/>
      <c r="AG320" s="1350"/>
      <c r="AH320" s="1350"/>
      <c r="AI320" s="1350"/>
      <c r="AJ320" s="1350"/>
      <c r="AK320" s="1350"/>
    </row>
    <row r="321" spans="2:37" ht="12.95" customHeight="1">
      <c r="B321" s="3" t="s">
        <v>473</v>
      </c>
      <c r="C321" s="3"/>
      <c r="D321" s="3"/>
      <c r="E321" s="3"/>
      <c r="F321" s="3"/>
      <c r="H321" s="1350" t="s">
        <v>2641</v>
      </c>
      <c r="I321" s="1350"/>
      <c r="J321" s="1350"/>
      <c r="K321" s="1350"/>
      <c r="L321" s="1350"/>
      <c r="M321" s="1350"/>
      <c r="N321" s="1350"/>
      <c r="O321" s="1350"/>
      <c r="P321" s="1350"/>
      <c r="Q321" s="1350"/>
      <c r="R321" s="1350"/>
      <c r="T321" s="3" t="s">
        <v>75</v>
      </c>
      <c r="V321" s="3"/>
      <c r="W321" s="3"/>
      <c r="X321" s="3"/>
      <c r="Y321" s="3"/>
      <c r="AA321" s="1350" t="s">
        <v>2670</v>
      </c>
      <c r="AB321" s="1350"/>
      <c r="AC321" s="1350"/>
      <c r="AD321" s="1350"/>
      <c r="AE321" s="1350"/>
      <c r="AF321" s="1350"/>
      <c r="AG321" s="1350"/>
      <c r="AH321" s="1350"/>
      <c r="AI321" s="1350"/>
      <c r="AJ321" s="1350"/>
      <c r="AK321" s="1350"/>
    </row>
    <row r="322" spans="2:37" ht="12.95" customHeight="1">
      <c r="B322" s="3" t="s">
        <v>87</v>
      </c>
      <c r="C322" s="3"/>
      <c r="D322" s="3"/>
      <c r="E322" s="3"/>
      <c r="F322" s="3"/>
      <c r="H322" s="1350" t="s">
        <v>2655</v>
      </c>
      <c r="I322" s="1350"/>
      <c r="J322" s="1350"/>
      <c r="K322" s="1350"/>
      <c r="L322" s="1350"/>
      <c r="M322" s="1350"/>
      <c r="N322" s="1350"/>
      <c r="O322" s="1350"/>
      <c r="P322" s="1350"/>
      <c r="Q322" s="1350"/>
      <c r="R322" s="1350"/>
      <c r="T322" s="3" t="s">
        <v>87</v>
      </c>
      <c r="V322" s="3"/>
      <c r="W322" s="3"/>
      <c r="X322" s="3"/>
      <c r="Y322" s="3"/>
      <c r="AA322" s="1350" t="s">
        <v>2671</v>
      </c>
      <c r="AB322" s="1350"/>
      <c r="AC322" s="1350"/>
      <c r="AD322" s="1350"/>
      <c r="AE322" s="1350"/>
      <c r="AF322" s="1350"/>
      <c r="AG322" s="1350"/>
      <c r="AH322" s="1350"/>
      <c r="AI322" s="1350"/>
      <c r="AJ322" s="1350"/>
      <c r="AK322" s="1350"/>
    </row>
    <row r="323" spans="2:37" ht="12.95" customHeight="1">
      <c r="B323" s="3" t="s">
        <v>88</v>
      </c>
      <c r="C323" s="3"/>
      <c r="D323" s="3"/>
      <c r="E323" s="3"/>
      <c r="F323" s="3"/>
      <c r="G323" s="3"/>
      <c r="H323" s="1770" t="s">
        <v>2637</v>
      </c>
      <c r="I323" s="1425"/>
      <c r="J323" s="1425"/>
      <c r="K323" s="1425"/>
      <c r="L323" s="1425"/>
      <c r="M323" s="1425"/>
      <c r="N323" s="4" t="s">
        <v>206</v>
      </c>
      <c r="O323" s="4"/>
      <c r="P323" s="1419"/>
      <c r="Q323" s="1419"/>
      <c r="R323" s="1419"/>
      <c r="S323" s="3"/>
      <c r="T323" s="3" t="s">
        <v>88</v>
      </c>
      <c r="V323" s="3"/>
      <c r="W323" s="3"/>
      <c r="X323" s="3"/>
      <c r="Y323" s="3"/>
      <c r="AA323" s="1770" t="s">
        <v>2672</v>
      </c>
      <c r="AB323" s="1425"/>
      <c r="AC323" s="1425"/>
      <c r="AD323" s="1425"/>
      <c r="AE323" s="1425"/>
      <c r="AF323" s="1425"/>
      <c r="AG323" s="4" t="s">
        <v>206</v>
      </c>
      <c r="AH323" s="4"/>
      <c r="AI323" s="1419"/>
      <c r="AJ323" s="1419"/>
      <c r="AK323" s="1419"/>
    </row>
    <row r="324" spans="2:37" ht="12.95"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2.95" customHeight="1">
      <c r="B325" s="3" t="s">
        <v>76</v>
      </c>
      <c r="C325" s="3"/>
      <c r="D325" s="3"/>
      <c r="E325" s="3"/>
      <c r="F325" s="3"/>
      <c r="G325" s="3"/>
      <c r="H325" s="1350" t="s">
        <v>2638</v>
      </c>
      <c r="I325" s="1350"/>
      <c r="J325" s="1350"/>
      <c r="K325" s="1350"/>
      <c r="L325" s="1350"/>
      <c r="M325" s="1350"/>
      <c r="N325" s="1373"/>
      <c r="O325" s="1373"/>
      <c r="P325" s="1373"/>
      <c r="Q325" s="1373"/>
      <c r="R325" s="1373"/>
      <c r="S325" s="3"/>
      <c r="T325" s="3" t="s">
        <v>76</v>
      </c>
      <c r="V325" s="3"/>
      <c r="W325" s="3"/>
      <c r="X325" s="3"/>
      <c r="Y325" s="3"/>
      <c r="AA325" s="1350" t="s">
        <v>2673</v>
      </c>
      <c r="AB325" s="1350"/>
      <c r="AC325" s="1350"/>
      <c r="AD325" s="1350"/>
      <c r="AE325" s="1350"/>
      <c r="AF325" s="1350"/>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3" t="s">
        <v>592</v>
      </c>
      <c r="I327" s="1373"/>
      <c r="J327" s="1373"/>
      <c r="K327" s="1373"/>
      <c r="L327" s="1373"/>
      <c r="M327" s="1373"/>
      <c r="N327" s="1373"/>
      <c r="O327" s="1373"/>
      <c r="P327" s="1373"/>
      <c r="Q327" s="1373"/>
      <c r="R327" s="1373"/>
      <c r="T327" s="3" t="s">
        <v>368</v>
      </c>
      <c r="V327" s="3"/>
      <c r="W327" s="3"/>
      <c r="X327" s="3"/>
      <c r="Y327" s="3"/>
      <c r="AA327" s="1373" t="s">
        <v>592</v>
      </c>
      <c r="AB327" s="1373"/>
      <c r="AC327" s="1373"/>
      <c r="AD327" s="1373"/>
      <c r="AE327" s="1373"/>
      <c r="AF327" s="1373"/>
      <c r="AG327" s="1373"/>
      <c r="AH327" s="1373"/>
      <c r="AI327" s="1373"/>
      <c r="AJ327" s="1373"/>
      <c r="AK327" s="1373"/>
    </row>
    <row r="328" spans="2:37" ht="12.95" customHeight="1">
      <c r="B328" s="3" t="s">
        <v>472</v>
      </c>
      <c r="C328" s="3"/>
      <c r="D328" s="3"/>
      <c r="E328" s="3"/>
      <c r="F328" s="3"/>
      <c r="H328" s="1350"/>
      <c r="I328" s="1350"/>
      <c r="J328" s="1350"/>
      <c r="K328" s="1350"/>
      <c r="L328" s="1350"/>
      <c r="M328" s="1350"/>
      <c r="N328" s="1350"/>
      <c r="O328" s="1350"/>
      <c r="P328" s="1350"/>
      <c r="Q328" s="1350"/>
      <c r="R328" s="1350"/>
      <c r="T328" s="3" t="s">
        <v>472</v>
      </c>
      <c r="V328" s="3"/>
      <c r="W328" s="3"/>
      <c r="X328" s="3"/>
      <c r="Y328" s="3"/>
      <c r="AA328" s="1350"/>
      <c r="AB328" s="1350"/>
      <c r="AC328" s="1350"/>
      <c r="AD328" s="1350"/>
      <c r="AE328" s="1350"/>
      <c r="AF328" s="1350"/>
      <c r="AG328" s="1350"/>
      <c r="AH328" s="1350"/>
      <c r="AI328" s="1350"/>
      <c r="AJ328" s="1350"/>
      <c r="AK328" s="1350"/>
    </row>
    <row r="329" spans="2:37" ht="12.95" customHeight="1">
      <c r="B329" s="3" t="s">
        <v>473</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2.95"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2.95" customHeight="1">
      <c r="B331" s="3" t="s">
        <v>88</v>
      </c>
      <c r="C331" s="3"/>
      <c r="D331" s="3"/>
      <c r="E331" s="3"/>
      <c r="F331" s="3"/>
      <c r="G331" s="3"/>
      <c r="H331" s="1425"/>
      <c r="I331" s="1425"/>
      <c r="J331" s="1425"/>
      <c r="K331" s="1425"/>
      <c r="L331" s="1425"/>
      <c r="M331" s="1425"/>
      <c r="N331" s="4" t="s">
        <v>206</v>
      </c>
      <c r="O331" s="4"/>
      <c r="P331" s="1419"/>
      <c r="Q331" s="1419"/>
      <c r="R331" s="1419"/>
      <c r="S331" s="3"/>
      <c r="T331" s="3" t="s">
        <v>88</v>
      </c>
      <c r="V331" s="3"/>
      <c r="W331" s="3"/>
      <c r="X331" s="3"/>
      <c r="Y331" s="3"/>
      <c r="AA331" s="1425"/>
      <c r="AB331" s="1425"/>
      <c r="AC331" s="1425"/>
      <c r="AD331" s="1425"/>
      <c r="AE331" s="1425"/>
      <c r="AF331" s="1425"/>
      <c r="AG331" s="4" t="s">
        <v>206</v>
      </c>
      <c r="AH331" s="4"/>
      <c r="AI331" s="1419"/>
      <c r="AJ331" s="1419"/>
      <c r="AK331" s="1419"/>
    </row>
    <row r="332" spans="2:37" ht="12.95"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2.95"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8" t="s">
        <v>2721</v>
      </c>
      <c r="I335" s="1373"/>
      <c r="J335" s="1373"/>
      <c r="K335" s="1373"/>
      <c r="L335" s="1373"/>
      <c r="M335" s="1373"/>
      <c r="N335" s="1373"/>
      <c r="O335" s="1373"/>
      <c r="P335" s="1373"/>
      <c r="Q335" s="1373"/>
      <c r="R335" s="1373"/>
      <c r="T335" s="204" t="s">
        <v>887</v>
      </c>
      <c r="V335" s="3"/>
      <c r="W335" s="3"/>
      <c r="X335" s="3"/>
      <c r="Y335" s="3"/>
      <c r="AA335" s="1373" t="s">
        <v>2674</v>
      </c>
      <c r="AB335" s="1373"/>
      <c r="AC335" s="1373"/>
      <c r="AD335" s="1373"/>
      <c r="AE335" s="1373"/>
      <c r="AF335" s="1373"/>
      <c r="AG335" s="1373"/>
      <c r="AH335" s="1373"/>
      <c r="AI335" s="1373"/>
      <c r="AJ335" s="1373"/>
      <c r="AK335" s="1373"/>
    </row>
    <row r="336" spans="2:37" ht="12.95" customHeight="1">
      <c r="B336" s="3" t="s">
        <v>472</v>
      </c>
      <c r="C336" s="3"/>
      <c r="D336" s="3"/>
      <c r="E336" s="3"/>
      <c r="F336" s="3"/>
      <c r="H336" s="1459" t="s">
        <v>2724</v>
      </c>
      <c r="I336" s="1350"/>
      <c r="J336" s="1350"/>
      <c r="K336" s="1350"/>
      <c r="L336" s="1350"/>
      <c r="M336" s="1350"/>
      <c r="N336" s="1350"/>
      <c r="O336" s="1350"/>
      <c r="P336" s="1350"/>
      <c r="Q336" s="1350"/>
      <c r="R336" s="1350"/>
      <c r="T336" s="3" t="s">
        <v>472</v>
      </c>
      <c r="V336" s="3"/>
      <c r="W336" s="3"/>
      <c r="X336" s="3"/>
      <c r="Y336" s="3"/>
      <c r="AA336" s="1350" t="s">
        <v>2675</v>
      </c>
      <c r="AB336" s="1350"/>
      <c r="AC336" s="1350"/>
      <c r="AD336" s="1350"/>
      <c r="AE336" s="1350"/>
      <c r="AF336" s="1350"/>
      <c r="AG336" s="1350"/>
      <c r="AH336" s="1350"/>
      <c r="AI336" s="1350"/>
      <c r="AJ336" s="1350"/>
      <c r="AK336" s="1350"/>
    </row>
    <row r="337" spans="1:66" ht="12.95" customHeight="1">
      <c r="B337" s="3" t="s">
        <v>75</v>
      </c>
      <c r="C337" s="3"/>
      <c r="D337" s="3"/>
      <c r="E337" s="3"/>
      <c r="F337" s="3"/>
      <c r="H337" s="1459" t="s">
        <v>2725</v>
      </c>
      <c r="I337" s="1350"/>
      <c r="J337" s="1350"/>
      <c r="K337" s="1350"/>
      <c r="L337" s="1350"/>
      <c r="M337" s="1350"/>
      <c r="N337" s="1350"/>
      <c r="O337" s="1350"/>
      <c r="P337" s="1350"/>
      <c r="Q337" s="1350"/>
      <c r="R337" s="1350"/>
      <c r="T337" s="3" t="s">
        <v>75</v>
      </c>
      <c r="V337" s="3"/>
      <c r="W337" s="3"/>
      <c r="X337" s="3"/>
      <c r="Y337" s="3"/>
      <c r="AA337" s="1350" t="s">
        <v>2676</v>
      </c>
      <c r="AB337" s="1350"/>
      <c r="AC337" s="1350"/>
      <c r="AD337" s="1350"/>
      <c r="AE337" s="1350"/>
      <c r="AF337" s="1350"/>
      <c r="AG337" s="1350"/>
      <c r="AH337" s="1350"/>
      <c r="AI337" s="1350"/>
      <c r="AJ337" s="1350"/>
      <c r="AK337" s="1350"/>
    </row>
    <row r="338" spans="1:66" ht="12.95" customHeight="1">
      <c r="B338" s="3" t="s">
        <v>87</v>
      </c>
      <c r="C338" s="3"/>
      <c r="D338" s="3"/>
      <c r="E338" s="3"/>
      <c r="F338" s="3"/>
      <c r="G338" s="3"/>
      <c r="H338" s="1459" t="s">
        <v>2722</v>
      </c>
      <c r="I338" s="1350"/>
      <c r="J338" s="1350"/>
      <c r="K338" s="1350"/>
      <c r="L338" s="1350"/>
      <c r="M338" s="1350"/>
      <c r="N338" s="1350"/>
      <c r="O338" s="1350"/>
      <c r="P338" s="1350"/>
      <c r="Q338" s="1350"/>
      <c r="R338" s="1350"/>
      <c r="T338" s="3" t="s">
        <v>87</v>
      </c>
      <c r="V338" s="3"/>
      <c r="W338" s="3"/>
      <c r="X338" s="3"/>
      <c r="Y338" s="3"/>
      <c r="AA338" s="1350" t="s">
        <v>2677</v>
      </c>
      <c r="AB338" s="1350"/>
      <c r="AC338" s="1350"/>
      <c r="AD338" s="1350"/>
      <c r="AE338" s="1350"/>
      <c r="AF338" s="1350"/>
      <c r="AG338" s="1350"/>
      <c r="AH338" s="1350"/>
      <c r="AI338" s="1350"/>
      <c r="AJ338" s="1350"/>
      <c r="AK338" s="1350"/>
    </row>
    <row r="339" spans="1:66" ht="12.95" customHeight="1">
      <c r="B339" s="3" t="s">
        <v>88</v>
      </c>
      <c r="C339" s="3"/>
      <c r="D339" s="3"/>
      <c r="E339" s="3"/>
      <c r="F339" s="3"/>
      <c r="G339" s="3"/>
      <c r="H339" s="1770" t="s">
        <v>2726</v>
      </c>
      <c r="I339" s="1425"/>
      <c r="J339" s="1425"/>
      <c r="K339" s="1425"/>
      <c r="L339" s="1425"/>
      <c r="M339" s="1425"/>
      <c r="N339" s="4" t="s">
        <v>206</v>
      </c>
      <c r="O339" s="4"/>
      <c r="P339" s="1419"/>
      <c r="Q339" s="1419"/>
      <c r="R339" s="1419"/>
      <c r="S339" s="3"/>
      <c r="T339" s="3" t="s">
        <v>88</v>
      </c>
      <c r="V339" s="3"/>
      <c r="W339" s="3"/>
      <c r="X339" s="3"/>
      <c r="Y339" s="3"/>
      <c r="AA339" s="1770" t="s">
        <v>2678</v>
      </c>
      <c r="AB339" s="1425"/>
      <c r="AC339" s="1425"/>
      <c r="AD339" s="1425"/>
      <c r="AE339" s="1425"/>
      <c r="AF339" s="1425"/>
      <c r="AG339" s="4" t="s">
        <v>206</v>
      </c>
      <c r="AH339" s="4"/>
      <c r="AI339" s="1419"/>
      <c r="AJ339" s="1419"/>
      <c r="AK339" s="1419"/>
    </row>
    <row r="340" spans="1:66" ht="12.95"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2.95" customHeight="1">
      <c r="B341" s="3" t="s">
        <v>76</v>
      </c>
      <c r="C341" s="3"/>
      <c r="D341" s="3"/>
      <c r="E341" s="3"/>
      <c r="F341" s="3"/>
      <c r="G341" s="3"/>
      <c r="H341" s="1459" t="s">
        <v>2727</v>
      </c>
      <c r="I341" s="1350"/>
      <c r="J341" s="1350"/>
      <c r="K341" s="1350"/>
      <c r="L341" s="1350"/>
      <c r="M341" s="1350"/>
      <c r="N341" s="1373"/>
      <c r="O341" s="1373"/>
      <c r="P341" s="1373"/>
      <c r="Q341" s="1373"/>
      <c r="R341" s="1373"/>
      <c r="S341" s="3"/>
      <c r="T341" s="3" t="s">
        <v>76</v>
      </c>
      <c r="V341" s="3"/>
      <c r="W341" s="3"/>
      <c r="X341" s="3"/>
      <c r="Y341" s="3"/>
      <c r="AA341" s="1350" t="s">
        <v>2679</v>
      </c>
      <c r="AB341" s="1350"/>
      <c r="AC341" s="1350"/>
      <c r="AD341" s="1350"/>
      <c r="AE341" s="1350"/>
      <c r="AF341" s="1350"/>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3" t="s">
        <v>592</v>
      </c>
      <c r="Q343" s="1373"/>
      <c r="R343" s="1373"/>
      <c r="S343" s="1373"/>
      <c r="T343" s="1373"/>
      <c r="U343" s="1373"/>
      <c r="V343" s="1373"/>
      <c r="W343" s="1373"/>
      <c r="X343" s="1373"/>
      <c r="Y343" s="1373"/>
      <c r="Z343" s="1373"/>
      <c r="AA343" s="1373"/>
      <c r="AB343" s="1373"/>
      <c r="AC343" s="1373"/>
      <c r="AD343" s="1373"/>
      <c r="AE343" s="1373"/>
      <c r="BN343" t="s">
        <v>670</v>
      </c>
    </row>
    <row r="344" spans="1:66" ht="12.95" customHeight="1">
      <c r="B344" s="4"/>
      <c r="C344" s="4"/>
      <c r="D344" s="4"/>
      <c r="E344" s="4"/>
      <c r="F344" s="4"/>
      <c r="I344" s="4" t="s">
        <v>472</v>
      </c>
      <c r="P344" s="1350"/>
      <c r="Q344" s="1350"/>
      <c r="R344" s="1350"/>
      <c r="S344" s="1350"/>
      <c r="T344" s="1350"/>
      <c r="U344" s="1350"/>
      <c r="V344" s="1350"/>
      <c r="W344" s="1350"/>
      <c r="X344" s="1350"/>
      <c r="Y344" s="1350"/>
      <c r="Z344" s="1350"/>
      <c r="AA344" s="1350"/>
      <c r="AB344" s="1350"/>
      <c r="AC344" s="1350"/>
      <c r="AD344" s="1350"/>
      <c r="AE344" s="1350"/>
      <c r="BN344" t="s">
        <v>546</v>
      </c>
    </row>
    <row r="345" spans="1:66" ht="12.95"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2.95"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2.95"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4" t="s">
        <v>543</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3" t="s">
        <v>546</v>
      </c>
      <c r="N355" s="1333"/>
      <c r="P355" t="s">
        <v>1651</v>
      </c>
      <c r="AJ355" s="1333" t="s">
        <v>670</v>
      </c>
      <c r="AK355" s="1333"/>
    </row>
    <row r="356" spans="1:46" ht="12.95" customHeight="1">
      <c r="D356" s="3" t="s">
        <v>1640</v>
      </c>
      <c r="M356" s="1333" t="s">
        <v>592</v>
      </c>
      <c r="N356" s="1333"/>
      <c r="P356" s="3" t="s">
        <v>1720</v>
      </c>
      <c r="AJ356" s="1448"/>
      <c r="AK356" s="1448"/>
    </row>
    <row r="357" spans="1:46" ht="12.95" customHeight="1">
      <c r="D357" s="3" t="s">
        <v>705</v>
      </c>
      <c r="M357" s="1333" t="s">
        <v>592</v>
      </c>
      <c r="N357" s="1333"/>
      <c r="P357" t="s">
        <v>1650</v>
      </c>
      <c r="AJ357" s="1333" t="s">
        <v>592</v>
      </c>
      <c r="AK357" s="1333"/>
    </row>
    <row r="358" spans="1:46" ht="12.95" customHeight="1">
      <c r="D358" s="3" t="s">
        <v>706</v>
      </c>
      <c r="M358" s="1333" t="s">
        <v>592</v>
      </c>
      <c r="N358" s="1333"/>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2.95" customHeight="1">
      <c r="E364" t="s">
        <v>370</v>
      </c>
      <c r="Y364" s="1333" t="s">
        <v>592</v>
      </c>
      <c r="Z364" s="1333"/>
    </row>
    <row r="365" spans="1:46" ht="12.95" customHeight="1">
      <c r="D365" s="4" t="s">
        <v>979</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3" t="s">
        <v>592</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6"/>
      <c r="T377" s="1816"/>
      <c r="U377" s="1" t="s">
        <v>306</v>
      </c>
      <c r="V377" s="1816"/>
      <c r="W377" s="1816"/>
      <c r="Y377" t="s">
        <v>2081</v>
      </c>
      <c r="AC377" s="27" t="s">
        <v>305</v>
      </c>
      <c r="AD377" s="1816"/>
      <c r="AE377" s="1816"/>
      <c r="AF377" s="1" t="s">
        <v>306</v>
      </c>
      <c r="AG377" s="1816"/>
      <c r="AH377" s="1816"/>
    </row>
    <row r="378" spans="1:34" ht="12.95" customHeight="1">
      <c r="E378" s="4" t="s">
        <v>988</v>
      </c>
      <c r="F378" s="4"/>
      <c r="G378" s="4"/>
      <c r="H378" s="4"/>
      <c r="I378" s="4"/>
      <c r="J378" s="4"/>
      <c r="K378" s="4"/>
      <c r="L378" s="4"/>
      <c r="N378" s="1816"/>
      <c r="O378" s="1816"/>
      <c r="P378" s="1816"/>
    </row>
    <row r="379" spans="1:34" ht="12.95" customHeight="1">
      <c r="E379" s="204" t="s">
        <v>2087</v>
      </c>
      <c r="F379" s="4"/>
      <c r="G379" s="4"/>
      <c r="H379" s="4"/>
      <c r="I379" s="4"/>
      <c r="J379" s="4"/>
      <c r="K379" s="4"/>
      <c r="L379" s="4"/>
      <c r="AG379" s="1805" t="s">
        <v>592</v>
      </c>
      <c r="AH379" s="1805"/>
    </row>
    <row r="380" spans="1:34" ht="12.95" customHeight="1">
      <c r="E380" s="4"/>
      <c r="F380" s="4"/>
      <c r="G380" s="4" t="s">
        <v>2088</v>
      </c>
      <c r="H380" s="4"/>
      <c r="I380" s="4"/>
      <c r="J380" s="4"/>
      <c r="K380" s="4"/>
      <c r="L380" s="4"/>
      <c r="AG380" s="1805" t="s">
        <v>592</v>
      </c>
      <c r="AH380" s="1805"/>
    </row>
    <row r="381" spans="1:34" ht="12.95" customHeight="1">
      <c r="E381" s="4"/>
      <c r="F381" s="4"/>
      <c r="G381" s="320" t="s">
        <v>989</v>
      </c>
      <c r="H381" s="4"/>
      <c r="I381" s="4"/>
      <c r="J381" s="4"/>
      <c r="K381" s="4"/>
      <c r="L381" s="4"/>
      <c r="V381" s="1333" t="s">
        <v>592</v>
      </c>
      <c r="W381" s="1333"/>
      <c r="Y381" s="22" t="s">
        <v>981</v>
      </c>
    </row>
    <row r="382" spans="1:34" ht="12.95" customHeight="1">
      <c r="E382" s="4" t="s">
        <v>982</v>
      </c>
      <c r="F382" s="4"/>
      <c r="G382" s="4"/>
      <c r="H382" s="4"/>
      <c r="I382" s="4"/>
      <c r="J382" s="4"/>
      <c r="K382" s="4"/>
      <c r="L382" s="4"/>
      <c r="V382" s="1333" t="s">
        <v>592</v>
      </c>
      <c r="W382" s="1333"/>
      <c r="Y382" s="4" t="s">
        <v>983</v>
      </c>
    </row>
    <row r="383" spans="1:34" ht="12.95" customHeight="1"/>
    <row r="384" spans="1:34" ht="12.95" customHeight="1">
      <c r="A384" s="2" t="s">
        <v>78</v>
      </c>
      <c r="B384" s="2"/>
    </row>
    <row r="385" spans="4:36" ht="12.95" customHeight="1">
      <c r="D385" t="s">
        <v>428</v>
      </c>
      <c r="J385" s="1373" t="s">
        <v>2680</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1183</v>
      </c>
      <c r="J386" s="1350" t="s">
        <v>2681</v>
      </c>
      <c r="K386" s="1350"/>
      <c r="L386" s="1350"/>
      <c r="M386" s="1350"/>
      <c r="N386" s="1350"/>
      <c r="O386" s="1350"/>
      <c r="P386" s="1350"/>
      <c r="Q386" s="1350"/>
      <c r="R386" s="1350"/>
      <c r="S386" s="1350"/>
      <c r="T386" s="1350"/>
      <c r="U386" s="1350"/>
      <c r="V386" s="3" t="s">
        <v>1183</v>
      </c>
      <c r="W386" s="8"/>
      <c r="X386" s="8"/>
      <c r="Y386" s="8"/>
      <c r="Z386" s="8"/>
      <c r="AA386" s="8"/>
      <c r="AB386" s="8"/>
      <c r="AC386" s="1373" t="s">
        <v>2682</v>
      </c>
      <c r="AD386" s="1373"/>
      <c r="AE386" s="1373"/>
      <c r="AF386" s="1373"/>
      <c r="AG386" s="1373"/>
      <c r="AH386" s="1373"/>
      <c r="AI386" s="1373"/>
      <c r="AJ386" s="1373"/>
    </row>
    <row r="387" spans="4:36" ht="12.95" customHeight="1">
      <c r="D387" s="3" t="s">
        <v>442</v>
      </c>
      <c r="J387" s="1350" t="s">
        <v>2683</v>
      </c>
      <c r="K387" s="1350"/>
      <c r="L387" s="1350"/>
      <c r="M387" s="1350"/>
      <c r="N387" s="1350"/>
      <c r="O387" s="1350"/>
      <c r="P387" s="1350"/>
      <c r="Q387" s="1350"/>
      <c r="R387" s="1350"/>
      <c r="S387" s="1350"/>
      <c r="T387" s="1350"/>
      <c r="U387" s="1350"/>
      <c r="V387" s="3" t="s">
        <v>442</v>
      </c>
      <c r="W387" s="8"/>
      <c r="X387" s="8"/>
      <c r="Y387" s="8"/>
      <c r="Z387" s="8"/>
      <c r="AA387" s="8"/>
      <c r="AB387" s="8"/>
      <c r="AC387" s="1373" t="s">
        <v>2683</v>
      </c>
      <c r="AD387" s="1373"/>
      <c r="AE387" s="1373"/>
      <c r="AF387" s="1373"/>
      <c r="AG387" s="1373"/>
      <c r="AH387" s="1373"/>
      <c r="AI387" s="1373"/>
      <c r="AJ387" s="1373"/>
    </row>
    <row r="388" spans="4:36" ht="12.95" customHeight="1">
      <c r="D388" t="s">
        <v>1179</v>
      </c>
      <c r="J388" s="1404" t="s">
        <v>2684</v>
      </c>
      <c r="K388" s="1404"/>
      <c r="L388" s="1404"/>
      <c r="M388" s="1404"/>
      <c r="N388" s="1404"/>
      <c r="O388" s="1404"/>
      <c r="P388" s="1404"/>
      <c r="Q388" s="1404"/>
      <c r="R388" s="1404"/>
      <c r="S388" s="1404"/>
      <c r="T388" s="1404"/>
      <c r="U388" s="1404"/>
      <c r="V388" s="1373" t="s">
        <v>2685</v>
      </c>
      <c r="W388" s="1373"/>
      <c r="X388" s="1373"/>
      <c r="Y388" s="1373"/>
      <c r="Z388" s="1373"/>
      <c r="AA388" s="1373"/>
      <c r="AB388" s="1373"/>
      <c r="AC388" s="1373"/>
      <c r="AD388" s="1373"/>
      <c r="AE388" s="1373"/>
      <c r="AF388" s="1373"/>
      <c r="AG388" s="1373"/>
      <c r="AH388" s="1373"/>
      <c r="AI388" s="1373"/>
      <c r="AJ388" s="1373"/>
    </row>
    <row r="389" spans="4:36" ht="12.95" customHeight="1">
      <c r="D389" t="s">
        <v>4</v>
      </c>
      <c r="Q389" s="1752">
        <v>45726</v>
      </c>
      <c r="R389" s="1752"/>
      <c r="S389" s="1752"/>
      <c r="T389" s="1752"/>
      <c r="U389" s="1752"/>
      <c r="V389" t="s">
        <v>309</v>
      </c>
      <c r="AI389" s="1333" t="s">
        <v>670</v>
      </c>
      <c r="AJ389" s="1333"/>
    </row>
    <row r="390" spans="4:36" ht="12.95" customHeight="1">
      <c r="D390" t="s">
        <v>5</v>
      </c>
      <c r="Q390" s="1536">
        <v>46174</v>
      </c>
      <c r="R390" s="1820"/>
      <c r="S390" s="1820"/>
      <c r="T390" s="1820"/>
      <c r="U390" s="1820"/>
      <c r="W390" s="21" t="s">
        <v>74</v>
      </c>
      <c r="AG390" s="1818"/>
      <c r="AH390" s="1818"/>
      <c r="AI390" s="1818"/>
      <c r="AJ390" s="1818"/>
    </row>
    <row r="391" spans="4:36" ht="12.95" customHeight="1">
      <c r="D391" t="s">
        <v>427</v>
      </c>
      <c r="Q391" s="1829">
        <v>3500000</v>
      </c>
      <c r="R391" s="1829"/>
      <c r="S391" s="1829"/>
      <c r="T391" s="1829"/>
      <c r="U391" s="1829"/>
      <c r="V391" s="3" t="s">
        <v>1182</v>
      </c>
      <c r="AG391" s="1819"/>
      <c r="AH391" s="1819"/>
      <c r="AI391" s="1819"/>
      <c r="AJ391" s="1819"/>
    </row>
    <row r="392" spans="4:36" ht="12.95" customHeight="1">
      <c r="D392" t="s">
        <v>88</v>
      </c>
      <c r="I392" s="1425"/>
      <c r="J392" s="1425"/>
      <c r="K392" s="1425"/>
      <c r="L392" s="1425"/>
      <c r="M392" s="1425"/>
      <c r="N392" s="1425"/>
      <c r="Q392" s="4" t="s">
        <v>206</v>
      </c>
      <c r="S392" s="1828"/>
      <c r="T392" s="1828"/>
      <c r="U392" s="1828"/>
      <c r="V392" t="s">
        <v>73</v>
      </c>
      <c r="AI392" s="1333" t="s">
        <v>670</v>
      </c>
      <c r="AJ392" s="1333"/>
    </row>
    <row r="393" spans="4:36" ht="12.95" customHeight="1">
      <c r="D393" t="s">
        <v>310</v>
      </c>
      <c r="Q393" s="1410">
        <v>12500</v>
      </c>
      <c r="R393" s="1410"/>
      <c r="S393" s="1410"/>
      <c r="T393" s="1410"/>
      <c r="U393" s="1410"/>
      <c r="V393" t="s">
        <v>311</v>
      </c>
      <c r="AG393" s="1818">
        <v>150000</v>
      </c>
      <c r="AH393" s="1818"/>
      <c r="AI393" s="1818"/>
      <c r="AJ393" s="1818"/>
    </row>
    <row r="394" spans="4:36" ht="12.95" customHeight="1">
      <c r="D394" t="s">
        <v>312</v>
      </c>
      <c r="Q394" s="1756"/>
      <c r="R394" s="1756"/>
      <c r="S394" s="1756"/>
      <c r="T394" s="1756"/>
      <c r="U394" s="1756"/>
      <c r="V394" t="s">
        <v>1164</v>
      </c>
      <c r="AG394" s="1818"/>
      <c r="AH394" s="1818"/>
      <c r="AI394" s="1818"/>
      <c r="AJ394" s="1818"/>
    </row>
    <row r="395" spans="4:36" ht="12.95" customHeight="1">
      <c r="D395" t="s">
        <v>1163</v>
      </c>
      <c r="AG395" s="1818"/>
      <c r="AH395" s="1818"/>
      <c r="AI395" s="1818"/>
      <c r="AJ395" s="1818"/>
    </row>
    <row r="396" spans="4:36" ht="12.95" customHeight="1">
      <c r="AG396" s="456"/>
      <c r="AH396" s="456"/>
      <c r="AI396" s="456"/>
      <c r="AJ396" s="456"/>
    </row>
    <row r="397" spans="4:36" ht="12.95" customHeight="1">
      <c r="D397" s="3" t="s">
        <v>2144</v>
      </c>
      <c r="AG397" s="456"/>
      <c r="AH397" s="456"/>
      <c r="AI397" s="1333" t="s">
        <v>670</v>
      </c>
      <c r="AJ397" s="1333"/>
    </row>
    <row r="398" spans="4:36" ht="12.95"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1661</v>
      </c>
      <c r="S401" s="1751" t="s">
        <v>670</v>
      </c>
      <c r="T401" s="1751"/>
      <c r="U401" s="1751"/>
      <c r="V401" t="s">
        <v>1662</v>
      </c>
      <c r="AG401" s="1822"/>
      <c r="AH401" s="1822"/>
      <c r="AI401" s="1822"/>
      <c r="AJ401" s="1822"/>
    </row>
    <row r="402" spans="1:36" ht="12.95" customHeight="1">
      <c r="D402" s="3" t="s">
        <v>1659</v>
      </c>
      <c r="S402" s="1751" t="s">
        <v>592</v>
      </c>
      <c r="T402" s="1751"/>
      <c r="U402" s="1751"/>
      <c r="V402" t="s">
        <v>1664</v>
      </c>
      <c r="AE402" s="1817"/>
      <c r="AF402" s="1817"/>
      <c r="AG402" s="1817"/>
      <c r="AH402" s="1817"/>
      <c r="AI402" s="1817"/>
      <c r="AJ402" s="1817"/>
    </row>
    <row r="403" spans="1:36" ht="12.95"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1663</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1666</v>
      </c>
      <c r="E405" s="477"/>
      <c r="F405" s="477"/>
      <c r="G405" s="477"/>
      <c r="H405" s="477"/>
      <c r="I405" s="477"/>
      <c r="J405" s="477"/>
      <c r="K405" s="477"/>
      <c r="L405" s="477"/>
      <c r="M405" s="477"/>
      <c r="N405" s="477"/>
      <c r="O405" s="477"/>
      <c r="P405" s="477"/>
      <c r="Q405" s="477"/>
      <c r="R405" s="477"/>
      <c r="S405" s="1827" t="s">
        <v>2720</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8" t="s">
        <v>2686</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2.95" customHeight="1">
      <c r="E411" t="s">
        <v>106</v>
      </c>
      <c r="R411" s="1333" t="s">
        <v>546</v>
      </c>
      <c r="S411" s="1333"/>
      <c r="AC411" s="27" t="s">
        <v>571</v>
      </c>
      <c r="AD411" s="1664">
        <v>6</v>
      </c>
      <c r="AE411" s="1664"/>
    </row>
    <row r="412" spans="1:36" ht="12.95" customHeight="1">
      <c r="E412" t="s">
        <v>107</v>
      </c>
      <c r="R412" s="1333" t="s">
        <v>592</v>
      </c>
      <c r="S412" s="1333"/>
      <c r="AC412" s="27" t="s">
        <v>571</v>
      </c>
      <c r="AD412" s="1664"/>
      <c r="AE412" s="1664"/>
    </row>
    <row r="413" spans="1:36" ht="12.95" customHeight="1">
      <c r="E413" t="s">
        <v>108</v>
      </c>
      <c r="S413" s="1333" t="s">
        <v>592</v>
      </c>
      <c r="T413" s="1333"/>
    </row>
    <row r="414" spans="1:36" ht="12.95" customHeight="1">
      <c r="E414" t="s">
        <v>170</v>
      </c>
      <c r="H414" s="1757" t="s">
        <v>2736</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60">
        <f>93699.3/43560</f>
        <v>2.1510399449035815</v>
      </c>
      <c r="Q418" s="1760"/>
      <c r="R418" s="1760"/>
      <c r="S418" t="s">
        <v>117</v>
      </c>
      <c r="W418" s="1826">
        <f>IF(E418&gt;0,(E418*I418),(P418*43560))</f>
        <v>93699.300000000017</v>
      </c>
      <c r="X418" s="1826"/>
      <c r="Y418" s="1826"/>
      <c r="Z418" t="s">
        <v>118</v>
      </c>
      <c r="AF418" s="1761">
        <f>IFERROR(IF(P418&gt;0,(AG437/P418),(AG437/(W418/43560))),0)</f>
        <v>74.38262612420796</v>
      </c>
      <c r="AG418" s="1761"/>
      <c r="AH418" s="1761"/>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1737</v>
      </c>
      <c r="F421" s="1013"/>
      <c r="G421" s="1013"/>
      <c r="H421" s="1013"/>
      <c r="I421" s="1759">
        <v>2.15</v>
      </c>
      <c r="J421" s="1759"/>
      <c r="K421" s="1759"/>
      <c r="L421" s="1013"/>
      <c r="M421" s="118"/>
      <c r="N421" s="1013"/>
      <c r="O421" s="1013"/>
      <c r="P421" s="1442">
        <f>(DU755+DU778+DU800)/I421</f>
        <v>156.27906976744185</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3">
        <v>1</v>
      </c>
      <c r="Q424" s="1333"/>
      <c r="S424" t="s">
        <v>189</v>
      </c>
      <c r="AE424" s="1333">
        <v>1</v>
      </c>
      <c r="AF424" s="1333"/>
    </row>
    <row r="425" spans="1:39" ht="12.95" customHeight="1">
      <c r="E425" t="s">
        <v>190</v>
      </c>
      <c r="P425" s="1333">
        <v>0</v>
      </c>
      <c r="Q425" s="1333"/>
      <c r="S425" t="s">
        <v>131</v>
      </c>
      <c r="AE425" s="1333" t="s">
        <v>592</v>
      </c>
      <c r="AF425" s="1333"/>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3" t="s">
        <v>670</v>
      </c>
      <c r="R429" s="1333"/>
    </row>
    <row r="430" spans="1:39" ht="12.95" customHeight="1">
      <c r="F430" t="s">
        <v>610</v>
      </c>
      <c r="P430" s="1"/>
      <c r="Q430" s="1"/>
      <c r="AF430" s="1333" t="s">
        <v>592</v>
      </c>
      <c r="AG430" s="1824"/>
    </row>
    <row r="431" spans="1:39" ht="12.95" customHeight="1"/>
    <row r="432" spans="1:39" ht="12.95" customHeight="1">
      <c r="A432" s="2"/>
      <c r="B432" s="2"/>
      <c r="C432" s="2"/>
      <c r="E432" s="4" t="s">
        <v>308</v>
      </c>
      <c r="Z432" s="1333" t="s">
        <v>670</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1">
        <v>160</v>
      </c>
      <c r="AH437" s="1821"/>
      <c r="AI437" s="1821"/>
      <c r="AJ437" s="1821"/>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5">
        <v>0</v>
      </c>
      <c r="AH438" s="1614"/>
      <c r="AI438" s="1614"/>
      <c r="AJ438" s="1614"/>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1">
        <v>158</v>
      </c>
      <c r="AH439" s="1821"/>
      <c r="AI439" s="1821"/>
      <c r="AJ439" s="1821"/>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1">
        <v>158</v>
      </c>
      <c r="AH440" s="1821"/>
      <c r="AI440" s="1821"/>
      <c r="AJ440" s="1821"/>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113357</v>
      </c>
      <c r="AH442" s="1696"/>
      <c r="AI442" s="1696"/>
      <c r="AJ442" s="1696"/>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113357</v>
      </c>
      <c r="AH443" s="1696"/>
      <c r="AI443" s="1696"/>
      <c r="AJ443" s="1696"/>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5" customHeight="1">
      <c r="D446" s="1743"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5252</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f>AG446+(706*2)+15526</f>
        <v>22190</v>
      </c>
      <c r="AH448" s="1696"/>
      <c r="AI448" s="1696"/>
      <c r="AJ448" s="1696"/>
      <c r="AZ448" s="3"/>
      <c r="BA448" s="3"/>
      <c r="BB448" s="3"/>
      <c r="BC448" s="3"/>
    </row>
    <row r="449" spans="1:55" ht="12.95" customHeight="1">
      <c r="D449" s="1743"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81797</v>
      </c>
      <c r="AH449" s="1696"/>
      <c r="AI449" s="1696"/>
      <c r="AJ449" s="1696"/>
      <c r="BB449" s="3"/>
      <c r="BC449" s="3"/>
    </row>
    <row r="450" spans="1:55" ht="12.95"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5">
        <f>AG442+AG446+AG448+AG449</f>
        <v>222596</v>
      </c>
      <c r="AH450" s="1845"/>
      <c r="AI450" s="1845"/>
      <c r="AJ450" s="1845"/>
      <c r="AZ450" s="3"/>
      <c r="BA450" s="3"/>
      <c r="BB450" s="3"/>
      <c r="BC450" s="3"/>
    </row>
    <row r="451" spans="1:55" ht="12.95"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612181.25</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612181.25</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582795.83125000005</v>
      </c>
      <c r="AD456" s="1813"/>
      <c r="AE456" s="1813"/>
      <c r="AF456" s="1813"/>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2101</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2192</v>
      </c>
      <c r="E472" s="1849"/>
      <c r="F472" s="1849"/>
      <c r="G472" s="1849"/>
      <c r="H472" s="1849"/>
      <c r="I472" s="1849"/>
      <c r="J472" s="1849"/>
      <c r="K472" s="1849"/>
      <c r="L472" s="1849"/>
      <c r="M472" s="1849"/>
      <c r="N472" s="1849"/>
      <c r="O472" s="1849"/>
      <c r="P472" s="1849"/>
      <c r="Q472" s="1849"/>
      <c r="R472" s="1849"/>
      <c r="S472" s="1849"/>
      <c r="T472" s="1849"/>
      <c r="U472" s="1849"/>
      <c r="V472" s="1850"/>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6">
        <v>25</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t="s">
        <v>2687</v>
      </c>
      <c r="H474" s="1699"/>
      <c r="I474" s="1699"/>
      <c r="J474" s="1699"/>
      <c r="K474" s="1699"/>
      <c r="L474" s="1699"/>
      <c r="M474" s="1699"/>
      <c r="N474" s="1699"/>
      <c r="O474" s="1699"/>
      <c r="P474" s="1699"/>
      <c r="Q474" s="1699"/>
      <c r="R474" s="1699"/>
      <c r="S474" s="1699"/>
      <c r="T474" s="1699"/>
      <c r="U474" s="1699"/>
      <c r="V474" s="1700"/>
      <c r="W474" s="1666">
        <v>133</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4" t="s">
        <v>811</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8" t="s">
        <v>2688</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2689</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2690</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9"/>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47" t="s">
        <v>2730</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v>222</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245</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9"/>
      <c r="AZ494" s="3"/>
      <c r="BA494" s="3"/>
      <c r="BB494" s="3"/>
      <c r="BC494" s="3"/>
    </row>
    <row r="495" spans="1:55" ht="12.95" customHeight="1">
      <c r="B495" s="121" t="s">
        <v>1670</v>
      </c>
      <c r="C495" s="5"/>
      <c r="D495" s="5"/>
      <c r="E495" s="5"/>
      <c r="F495" s="5"/>
      <c r="G495" s="5"/>
      <c r="H495" s="5"/>
      <c r="I495" s="5"/>
      <c r="J495" s="5"/>
      <c r="K495" s="5"/>
      <c r="L495" s="5"/>
      <c r="M495" s="1447">
        <v>245</v>
      </c>
      <c r="N495" s="1448"/>
      <c r="O495" s="1448"/>
      <c r="P495" s="1449"/>
      <c r="Q495" s="121" t="s">
        <v>1671</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4"/>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2</v>
      </c>
      <c r="AD502" s="1664"/>
      <c r="AE502" s="1664"/>
      <c r="AF502" s="1664"/>
      <c r="AG502" s="38" t="s">
        <v>403</v>
      </c>
      <c r="AH502" s="1404">
        <v>2026</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t="s">
        <v>592</v>
      </c>
      <c r="AD505" s="1664"/>
      <c r="AE505" s="1664"/>
      <c r="AF505" s="1664"/>
      <c r="AG505" s="13" t="s">
        <v>403</v>
      </c>
      <c r="AH505" s="1404"/>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12</v>
      </c>
      <c r="AD506" s="1664"/>
      <c r="AE506" s="1664"/>
      <c r="AF506" s="1664"/>
      <c r="AG506" s="13" t="s">
        <v>403</v>
      </c>
      <c r="AH506" s="1404">
        <v>2025</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8">
        <v>12</v>
      </c>
      <c r="AD507" s="1339"/>
      <c r="AE507" s="1339"/>
      <c r="AF507" s="1339"/>
      <c r="AG507" s="13" t="s">
        <v>403</v>
      </c>
      <c r="AH507" s="1404">
        <v>2025</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4"/>
      <c r="AC508" s="1663" t="s">
        <v>592</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1" t="s">
        <v>670</v>
      </c>
      <c r="AD509" s="1821"/>
      <c r="AE509" s="1821"/>
      <c r="AF509" s="1821"/>
      <c r="AG509" s="13"/>
      <c r="AH509" s="1336"/>
      <c r="AI509" s="1336"/>
      <c r="AJ509" s="1336"/>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8"/>
      <c r="AD510" s="1339"/>
      <c r="AE510" s="1339"/>
      <c r="AF510" s="1340"/>
      <c r="AG510" s="13"/>
      <c r="AH510" s="1336"/>
      <c r="AI510" s="1336"/>
      <c r="AJ510" s="1336"/>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3"/>
      <c r="AZ513" s="3"/>
      <c r="BA513" s="3"/>
      <c r="BB513" s="3"/>
      <c r="BC513" s="3"/>
      <c r="BD513" s="3"/>
      <c r="BE513" s="3"/>
      <c r="BF513" s="3"/>
      <c r="BG513" s="3"/>
      <c r="BH513" s="3"/>
      <c r="BI513" s="3"/>
      <c r="BJ513" s="3"/>
      <c r="BK513" s="3"/>
      <c r="BL513" s="3"/>
      <c r="BM513" s="3"/>
      <c r="BN513" s="3" t="s">
        <v>2106</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2107</v>
      </c>
    </row>
    <row r="515" spans="2:66" ht="12.95" customHeight="1">
      <c r="B515" s="1674"/>
      <c r="C515" s="1434"/>
      <c r="D515" s="1434"/>
      <c r="E515" s="1434"/>
      <c r="F515" s="1434"/>
      <c r="G515" s="1434"/>
      <c r="H515" s="1435"/>
      <c r="I515" t="s">
        <v>416</v>
      </c>
      <c r="AC515" s="1663">
        <v>5</v>
      </c>
      <c r="AD515" s="1664"/>
      <c r="AE515" s="1664"/>
      <c r="AF515" s="1664"/>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2108</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2109</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8">
        <v>3</v>
      </c>
      <c r="AD517" s="1339"/>
      <c r="AE517" s="1339"/>
      <c r="AF517" s="1339"/>
      <c r="AG517" s="129" t="s">
        <v>403</v>
      </c>
      <c r="AH517" s="1404">
        <v>2025</v>
      </c>
      <c r="AI517" s="1404"/>
      <c r="AJ517" s="1404"/>
      <c r="AK517" s="1405"/>
      <c r="AZ517" s="3"/>
      <c r="BB517" s="3"/>
      <c r="BC517" s="3"/>
      <c r="BD517" s="3"/>
      <c r="BE517" s="3"/>
      <c r="BF517" s="3"/>
      <c r="BG517" s="3"/>
      <c r="BH517" s="3"/>
      <c r="BI517" s="3"/>
      <c r="BJ517" s="3"/>
      <c r="BK517" s="3"/>
      <c r="BL517" s="3"/>
      <c r="BM517" s="3"/>
      <c r="BN517" s="3" t="s">
        <v>2110</v>
      </c>
    </row>
    <row r="518" spans="2:66" ht="12.95" customHeight="1">
      <c r="B518" s="1674"/>
      <c r="C518" s="1434"/>
      <c r="D518" s="1434"/>
      <c r="E518" s="1434"/>
      <c r="F518" s="1434"/>
      <c r="G518" s="1434"/>
      <c r="H518" s="1435"/>
      <c r="I518" t="s">
        <v>416</v>
      </c>
      <c r="AC518" s="1663">
        <v>3</v>
      </c>
      <c r="AD518" s="1664"/>
      <c r="AE518" s="1664"/>
      <c r="AF518" s="1664"/>
      <c r="AG518" s="13" t="s">
        <v>403</v>
      </c>
      <c r="AH518" s="1404">
        <v>2025</v>
      </c>
      <c r="AI518" s="1404"/>
      <c r="AJ518" s="1404"/>
      <c r="AK518" s="1405"/>
      <c r="BB518" s="3"/>
      <c r="BC518" s="3"/>
      <c r="BD518" s="3"/>
      <c r="BE518" s="3"/>
      <c r="BF518" s="3"/>
      <c r="BG518" s="3"/>
      <c r="BH518" s="3"/>
      <c r="BI518" s="3"/>
      <c r="BJ518" s="3"/>
      <c r="BK518" s="3"/>
      <c r="BL518" s="3"/>
      <c r="BM518" s="3"/>
      <c r="BN518" s="3" t="s">
        <v>2111</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2</v>
      </c>
      <c r="AD519" s="1664"/>
      <c r="AE519" s="1664"/>
      <c r="AF519" s="1664"/>
      <c r="AG519" s="38" t="s">
        <v>403</v>
      </c>
      <c r="AH519" s="1404">
        <v>2026</v>
      </c>
      <c r="AI519" s="1404"/>
      <c r="AJ519" s="1404"/>
      <c r="AK519" s="1405"/>
      <c r="BB519" s="3"/>
      <c r="BC519" s="3"/>
      <c r="BD519" s="3"/>
      <c r="BE519" s="3"/>
      <c r="BF519" s="3"/>
      <c r="BG519" s="3"/>
      <c r="BH519" s="3"/>
      <c r="BI519" s="3"/>
      <c r="BJ519" s="3"/>
      <c r="BK519" s="3"/>
      <c r="BL519" s="3"/>
      <c r="BM519" s="3"/>
      <c r="BN519" s="3" t="s">
        <v>2112</v>
      </c>
    </row>
    <row r="520" spans="2:66" ht="12.95" customHeight="1">
      <c r="B520" s="1673" t="s">
        <v>419</v>
      </c>
      <c r="C520" s="1432"/>
      <c r="D520" s="1432"/>
      <c r="E520" s="1432"/>
      <c r="F520" s="1432"/>
      <c r="G520" s="1432"/>
      <c r="H520" s="1433"/>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8" t="s">
        <v>592</v>
      </c>
      <c r="AD520" s="1339"/>
      <c r="AE520" s="1339"/>
      <c r="AF520" s="1339"/>
      <c r="AG520" s="129" t="s">
        <v>403</v>
      </c>
      <c r="AH520" s="1404"/>
      <c r="AI520" s="1404"/>
      <c r="AJ520" s="1404"/>
      <c r="AK520" s="1405"/>
      <c r="AZ520" s="3"/>
      <c r="BB520" s="3"/>
      <c r="BC520" s="3"/>
      <c r="BD520" s="3"/>
      <c r="BE520" s="3"/>
      <c r="BF520" s="3"/>
      <c r="BG520" s="3"/>
      <c r="BH520" s="3"/>
      <c r="BI520" s="3"/>
      <c r="BJ520" s="3"/>
      <c r="BK520" s="3"/>
      <c r="BL520" s="3"/>
      <c r="BM520" s="3"/>
      <c r="BN520" s="3" t="s">
        <v>2113</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4"/>
      <c r="AI521" s="1404"/>
      <c r="AJ521" s="1404"/>
      <c r="AK521" s="1405"/>
      <c r="AZ521" s="3"/>
      <c r="BB521" s="3"/>
      <c r="BC521" s="3"/>
      <c r="BD521" s="3"/>
      <c r="BE521" s="3"/>
      <c r="BF521" s="3"/>
      <c r="BG521" s="3"/>
      <c r="BH521" s="3"/>
      <c r="BI521" s="3"/>
      <c r="BJ521" s="3"/>
      <c r="BK521" s="3"/>
      <c r="BL521" s="3"/>
      <c r="BM521" s="3"/>
      <c r="BN521" s="3" t="s">
        <v>2114</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t="s">
        <v>592</v>
      </c>
      <c r="AD522" s="1664"/>
      <c r="AE522" s="1664"/>
      <c r="AF522" s="1664"/>
      <c r="AG522" s="38" t="s">
        <v>403</v>
      </c>
      <c r="AH522" s="1404"/>
      <c r="AI522" s="1404"/>
      <c r="AJ522" s="1404"/>
      <c r="AK522" s="1405"/>
      <c r="AZ522" s="3"/>
      <c r="BA522" s="3"/>
      <c r="BB522" s="3"/>
      <c r="BC522" s="3"/>
      <c r="BD522" s="3"/>
      <c r="BE522" s="3"/>
      <c r="BF522" s="3"/>
      <c r="BG522" s="3"/>
      <c r="BH522" s="3"/>
      <c r="BI522" s="3"/>
      <c r="BJ522" s="3"/>
      <c r="BK522" s="3"/>
      <c r="BL522" s="3"/>
      <c r="BM522" s="3"/>
      <c r="BN522" s="3" t="s">
        <v>2115</v>
      </c>
    </row>
    <row r="523" spans="2:66" ht="12.95" customHeight="1">
      <c r="B523" s="1674"/>
      <c r="C523" s="1434"/>
      <c r="D523" s="1434"/>
      <c r="E523" s="1434"/>
      <c r="F523" s="1434"/>
      <c r="G523" s="1434"/>
      <c r="H523" s="1435"/>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4"/>
      <c r="AI523" s="1404"/>
      <c r="AJ523" s="1404"/>
      <c r="AK523" s="1405"/>
      <c r="AZ523" s="3"/>
      <c r="BA523" s="3"/>
      <c r="BB523" s="3"/>
      <c r="BC523" s="3"/>
      <c r="BD523" s="3"/>
      <c r="BE523" s="3"/>
      <c r="BF523" s="3"/>
      <c r="BG523" s="3"/>
      <c r="BH523" s="3"/>
      <c r="BI523" s="3"/>
      <c r="BJ523" s="3"/>
      <c r="BK523" s="3"/>
      <c r="BL523" s="3"/>
      <c r="BM523" s="3"/>
      <c r="BN523" s="3" t="s">
        <v>2116</v>
      </c>
    </row>
    <row r="524" spans="2:66" ht="12.95" customHeight="1">
      <c r="B524" s="1674"/>
      <c r="C524" s="1434"/>
      <c r="D524" s="1434"/>
      <c r="E524" s="1434"/>
      <c r="F524" s="1434"/>
      <c r="G524" s="1434"/>
      <c r="H524" s="1435"/>
      <c r="I524" t="s">
        <v>421</v>
      </c>
      <c r="AC524" s="1663" t="s">
        <v>592</v>
      </c>
      <c r="AD524" s="1664"/>
      <c r="AE524" s="1664"/>
      <c r="AF524" s="1664"/>
      <c r="AG524" s="13" t="s">
        <v>403</v>
      </c>
      <c r="AH524" s="1404"/>
      <c r="AI524" s="1404"/>
      <c r="AJ524" s="1404"/>
      <c r="AK524" s="1405"/>
      <c r="AZ524" s="3"/>
      <c r="BA524" s="3"/>
      <c r="BB524" s="3"/>
      <c r="BC524" s="3"/>
      <c r="BD524" s="3"/>
      <c r="BE524" s="3"/>
      <c r="BF524" s="3"/>
      <c r="BG524" s="3"/>
      <c r="BH524" s="3"/>
      <c r="BI524" s="3"/>
      <c r="BJ524" s="3"/>
      <c r="BK524" s="3"/>
      <c r="BL524" s="3"/>
      <c r="BM524" s="3"/>
      <c r="BN524" s="3" t="s">
        <v>2117</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4"/>
      <c r="AI525" s="1404"/>
      <c r="AJ525" s="1404"/>
      <c r="AK525" s="1405"/>
      <c r="AZ525" s="3"/>
      <c r="BA525" s="3"/>
      <c r="BB525" s="3"/>
      <c r="BC525" s="3"/>
      <c r="BD525" s="3"/>
      <c r="BE525" s="3"/>
      <c r="BF525" s="3"/>
      <c r="BG525" s="3"/>
      <c r="BH525" s="3"/>
      <c r="BI525" s="3"/>
      <c r="BJ525" s="3"/>
      <c r="BK525" s="3"/>
      <c r="BL525" s="3"/>
      <c r="BM525" s="3"/>
      <c r="BN525" s="3" t="s">
        <v>2118</v>
      </c>
    </row>
    <row r="526" spans="2:66" ht="12.95"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4"/>
      <c r="AI526" s="1404"/>
      <c r="AJ526" s="1404"/>
      <c r="AK526" s="1405"/>
      <c r="AZ526" s="3"/>
      <c r="BA526" s="3"/>
      <c r="BB526" s="3"/>
      <c r="BC526" s="3"/>
      <c r="BD526" s="3"/>
      <c r="BE526" s="3"/>
      <c r="BF526" s="3"/>
      <c r="BG526" s="3"/>
      <c r="BH526" s="3"/>
      <c r="BI526" s="3"/>
      <c r="BJ526" s="3"/>
      <c r="BK526" s="3"/>
      <c r="BL526" s="3"/>
      <c r="BM526" s="3"/>
      <c r="BN526" s="3" t="s">
        <v>2119</v>
      </c>
    </row>
    <row r="527" spans="2:66" ht="12.95" customHeight="1">
      <c r="B527" s="1674"/>
      <c r="C527" s="1434"/>
      <c r="D527" s="1434"/>
      <c r="E527" s="1434"/>
      <c r="F527" s="1434"/>
      <c r="G527" s="1434"/>
      <c r="H527" s="1435"/>
      <c r="I527" t="s">
        <v>421</v>
      </c>
      <c r="AC527" s="1663" t="s">
        <v>592</v>
      </c>
      <c r="AD527" s="1664"/>
      <c r="AE527" s="1664"/>
      <c r="AF527" s="1664"/>
      <c r="AG527" s="13" t="s">
        <v>403</v>
      </c>
      <c r="AH527" s="1404"/>
      <c r="AI527" s="1404"/>
      <c r="AJ527" s="1404"/>
      <c r="AK527" s="1405"/>
      <c r="AZ527" s="3"/>
      <c r="BA527" s="3"/>
      <c r="BB527" s="3"/>
      <c r="BC527" s="3"/>
      <c r="BD527" s="3"/>
      <c r="BE527" s="3"/>
      <c r="BF527" s="3"/>
      <c r="BG527" s="3"/>
      <c r="BH527" s="3"/>
      <c r="BI527" s="3"/>
      <c r="BJ527" s="3"/>
      <c r="BK527" s="3"/>
      <c r="BL527" s="3"/>
      <c r="BM527" s="3"/>
      <c r="BN527" s="3" t="s">
        <v>2120</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4"/>
      <c r="AI528" s="1404"/>
      <c r="AJ528" s="1404"/>
      <c r="AK528" s="1405"/>
      <c r="AZ528" s="3"/>
      <c r="BA528" s="3"/>
      <c r="BB528" s="3"/>
      <c r="BC528" s="3"/>
      <c r="BD528" s="3"/>
      <c r="BE528" s="3"/>
      <c r="BF528" s="3"/>
      <c r="BG528" s="3"/>
      <c r="BH528" s="3"/>
      <c r="BI528" s="3"/>
      <c r="BJ528" s="3"/>
      <c r="BK528" s="3"/>
      <c r="BL528" s="3"/>
      <c r="BM528" s="3"/>
      <c r="BN528" s="3" t="s">
        <v>2121</v>
      </c>
    </row>
    <row r="529" spans="1:66" ht="12.95"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4"/>
      <c r="AI529" s="1404"/>
      <c r="AJ529" s="1404"/>
      <c r="AK529" s="1405"/>
      <c r="AZ529" s="3"/>
      <c r="BA529" s="3"/>
      <c r="BB529" s="3"/>
      <c r="BC529" s="3"/>
      <c r="BD529" s="3"/>
      <c r="BE529" s="3"/>
      <c r="BF529" s="3"/>
      <c r="BG529" s="3"/>
      <c r="BH529" s="3"/>
      <c r="BI529" s="3"/>
      <c r="BJ529" s="3"/>
      <c r="BK529" s="3"/>
      <c r="BL529" s="3"/>
      <c r="BM529" s="3"/>
      <c r="BN529" s="3" t="s">
        <v>2122</v>
      </c>
    </row>
    <row r="530" spans="1:66" ht="12.95" customHeight="1">
      <c r="B530" s="1674"/>
      <c r="C530" s="1434"/>
      <c r="D530" s="1434"/>
      <c r="E530" s="1434"/>
      <c r="F530" s="1434"/>
      <c r="G530" s="1434"/>
      <c r="H530" s="1435"/>
      <c r="I530" t="s">
        <v>421</v>
      </c>
      <c r="AC530" s="1663" t="s">
        <v>592</v>
      </c>
      <c r="AD530" s="1664"/>
      <c r="AE530" s="1664"/>
      <c r="AF530" s="1664"/>
      <c r="AG530" s="13" t="s">
        <v>403</v>
      </c>
      <c r="AH530" s="1404"/>
      <c r="AI530" s="1404"/>
      <c r="AJ530" s="1404"/>
      <c r="AK530" s="1405"/>
      <c r="AZ530" s="3"/>
      <c r="BA530" s="3"/>
      <c r="BB530" s="3"/>
      <c r="BC530" s="3"/>
      <c r="BD530" s="3"/>
      <c r="BE530" s="3"/>
      <c r="BF530" s="3"/>
      <c r="BG530" s="3"/>
      <c r="BH530" s="3"/>
      <c r="BI530" s="3"/>
      <c r="BJ530" s="3"/>
      <c r="BK530" s="3"/>
      <c r="BL530" s="3"/>
      <c r="BM530" s="3"/>
      <c r="BN530" s="3" t="s">
        <v>2123</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4"/>
      <c r="AI531" s="1404"/>
      <c r="AJ531" s="1404"/>
      <c r="AK531" s="1405"/>
      <c r="AZ531" s="3"/>
      <c r="BA531" s="3"/>
      <c r="BB531" s="3"/>
      <c r="BC531" s="3"/>
      <c r="BD531" s="3"/>
      <c r="BE531" s="3"/>
      <c r="BF531" s="3"/>
      <c r="BG531" s="3"/>
      <c r="BH531" s="3"/>
      <c r="BI531" s="3"/>
      <c r="BJ531" s="3"/>
      <c r="BK531" s="3"/>
      <c r="BL531" s="3"/>
      <c r="BM531" s="3"/>
      <c r="BN531" s="3" t="s">
        <v>2124</v>
      </c>
    </row>
    <row r="532" spans="1:66" ht="12.95"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4"/>
      <c r="AI532" s="1404"/>
      <c r="AJ532" s="1404"/>
      <c r="AK532" s="1405"/>
      <c r="AZ532" s="3"/>
      <c r="BA532" s="3"/>
      <c r="BB532" s="3"/>
      <c r="BC532" s="3"/>
      <c r="BD532" s="3"/>
      <c r="BE532" s="3"/>
      <c r="BF532" s="3"/>
      <c r="BG532" s="3"/>
      <c r="BH532" s="3"/>
      <c r="BI532" s="3"/>
      <c r="BJ532" s="3"/>
      <c r="BK532" s="3"/>
      <c r="BL532" s="3"/>
      <c r="BM532" s="3"/>
      <c r="BN532" s="3" t="s">
        <v>2125</v>
      </c>
    </row>
    <row r="533" spans="1:66" ht="12.95" customHeight="1">
      <c r="B533" s="1674"/>
      <c r="C533" s="1434"/>
      <c r="D533" s="1434"/>
      <c r="E533" s="1434"/>
      <c r="F533" s="1434"/>
      <c r="G533" s="1434"/>
      <c r="H533" s="1435"/>
      <c r="I533" t="s">
        <v>421</v>
      </c>
      <c r="AC533" s="1663" t="s">
        <v>592</v>
      </c>
      <c r="AD533" s="1664"/>
      <c r="AE533" s="1664"/>
      <c r="AF533" s="1664"/>
      <c r="AG533" s="38" t="s">
        <v>403</v>
      </c>
      <c r="AH533" s="1404"/>
      <c r="AI533" s="1404"/>
      <c r="AJ533" s="1404"/>
      <c r="AK533" s="1405"/>
      <c r="AZ533" s="3"/>
      <c r="BA533" s="3"/>
      <c r="BB533" s="3"/>
      <c r="BC533" s="3"/>
      <c r="BD533" s="3"/>
      <c r="BE533" s="3"/>
      <c r="BF533" s="3"/>
      <c r="BG533" s="3"/>
      <c r="BH533" s="3"/>
      <c r="BI533" s="3"/>
      <c r="BJ533" s="3"/>
      <c r="BK533" s="3"/>
      <c r="BL533" s="3"/>
      <c r="BM533" s="3"/>
      <c r="BN533" s="3" t="s">
        <v>2126</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4"/>
      <c r="AI534" s="1404"/>
      <c r="AJ534" s="1404"/>
      <c r="AK534" s="1405"/>
      <c r="AZ534" s="3"/>
      <c r="BA534" s="3"/>
      <c r="BB534" s="3"/>
      <c r="BC534" s="3"/>
      <c r="BD534" s="3"/>
      <c r="BE534" s="3"/>
      <c r="BF534" s="3"/>
      <c r="BG534" s="3"/>
      <c r="BH534" s="3"/>
      <c r="BI534" s="3"/>
      <c r="BJ534" s="3"/>
      <c r="BK534" s="3"/>
      <c r="BL534" s="3"/>
      <c r="BM534" s="3"/>
      <c r="BN534" s="3" t="s">
        <v>2127</v>
      </c>
    </row>
    <row r="535" spans="1:66" ht="12.95"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4"/>
      <c r="AI535" s="1404"/>
      <c r="AJ535" s="1404"/>
      <c r="AK535" s="1405"/>
      <c r="AZ535" s="3"/>
      <c r="BA535" s="3"/>
      <c r="BB535" s="3"/>
      <c r="BC535" s="3"/>
      <c r="BD535" s="3"/>
      <c r="BE535" s="3"/>
      <c r="BF535" s="3"/>
      <c r="BG535" s="3"/>
      <c r="BH535" s="3"/>
      <c r="BI535" s="3"/>
      <c r="BJ535" s="3"/>
      <c r="BK535" s="3"/>
      <c r="BL535" s="3"/>
      <c r="BM535" s="3"/>
      <c r="BN535" s="3" t="s">
        <v>2128</v>
      </c>
    </row>
    <row r="536" spans="1:66" ht="12.95" customHeight="1">
      <c r="B536" s="1674"/>
      <c r="C536" s="1434"/>
      <c r="D536" s="1434"/>
      <c r="E536" s="1434"/>
      <c r="F536" s="1434"/>
      <c r="G536" s="1434"/>
      <c r="H536" s="1435"/>
      <c r="I536" t="s">
        <v>421</v>
      </c>
      <c r="AC536" s="1663" t="s">
        <v>592</v>
      </c>
      <c r="AD536" s="1664"/>
      <c r="AE536" s="1664"/>
      <c r="AF536" s="1664"/>
      <c r="AG536" s="13" t="s">
        <v>403</v>
      </c>
      <c r="AH536" s="1404"/>
      <c r="AI536" s="1404"/>
      <c r="AJ536" s="1404"/>
      <c r="AK536" s="1405"/>
      <c r="AZ536" s="3"/>
      <c r="BA536" s="3"/>
      <c r="BB536" s="3"/>
      <c r="BC536" s="3"/>
      <c r="BD536" s="3"/>
      <c r="BE536" s="3"/>
      <c r="BF536" s="3"/>
      <c r="BG536" s="3"/>
      <c r="BH536" s="3"/>
      <c r="BI536" s="3"/>
      <c r="BJ536" s="3"/>
      <c r="BK536" s="3"/>
      <c r="BL536" s="3"/>
      <c r="BM536" s="3"/>
      <c r="BN536" s="3" t="s">
        <v>2129</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4"/>
      <c r="AI537" s="1404"/>
      <c r="AJ537" s="1404"/>
      <c r="AK537" s="1405"/>
      <c r="AZ537" s="3"/>
      <c r="BA537" s="3"/>
      <c r="BB537" s="3"/>
      <c r="BC537" s="3"/>
      <c r="BD537" s="3"/>
      <c r="BE537" s="3"/>
      <c r="BF537" s="3"/>
      <c r="BG537" s="3"/>
      <c r="BH537" s="3"/>
      <c r="BI537" s="3"/>
      <c r="BJ537" s="3"/>
      <c r="BK537" s="3"/>
      <c r="BL537" s="3"/>
      <c r="BM537" s="3"/>
      <c r="BN537" s="3" t="s">
        <v>2130</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4</v>
      </c>
      <c r="AD538" s="1664"/>
      <c r="AE538" s="1664"/>
      <c r="AF538" s="1664"/>
      <c r="AG538" s="38" t="s">
        <v>403</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2</v>
      </c>
      <c r="AD539" s="1664"/>
      <c r="AE539" s="1664"/>
      <c r="AF539" s="1664"/>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12</v>
      </c>
      <c r="AD540" s="1664"/>
      <c r="AE540" s="1664"/>
      <c r="AF540" s="1664"/>
      <c r="AG540" s="38" t="s">
        <v>403</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12</v>
      </c>
      <c r="AD541" s="1664"/>
      <c r="AE541" s="1664"/>
      <c r="AF541" s="1664"/>
      <c r="AG541" s="38" t="s">
        <v>403</v>
      </c>
      <c r="AH541" s="1404">
        <v>2027</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6</v>
      </c>
      <c r="AD542" s="1664"/>
      <c r="AE542" s="1664"/>
      <c r="AF542" s="1664"/>
      <c r="AG542" s="38" t="s">
        <v>403</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3" t="s">
        <v>2104</v>
      </c>
      <c r="C551" s="1432"/>
      <c r="D551" s="1432"/>
      <c r="E551" s="1432"/>
      <c r="F551" s="1432"/>
      <c r="G551" s="1432"/>
      <c r="H551" s="1432"/>
      <c r="I551" s="1432"/>
      <c r="J551" s="1432"/>
      <c r="K551" s="1432"/>
      <c r="L551" s="1433"/>
      <c r="M551" s="1673" t="s">
        <v>2105</v>
      </c>
      <c r="N551" s="1432"/>
      <c r="O551" s="1432"/>
      <c r="P551" s="1433"/>
      <c r="Q551" s="1673" t="s">
        <v>2131</v>
      </c>
      <c r="R551" s="1432"/>
      <c r="S551" s="1433"/>
      <c r="T551" s="1673" t="s">
        <v>2132</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No</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2691</v>
      </c>
      <c r="D554" s="1694"/>
      <c r="E554" s="1694"/>
      <c r="F554" s="1694"/>
      <c r="G554" s="1694"/>
      <c r="H554" s="1694"/>
      <c r="I554" s="1694"/>
      <c r="J554" s="1694"/>
      <c r="K554" s="1694"/>
      <c r="L554" s="1694"/>
      <c r="M554" s="1694" t="s">
        <v>2121</v>
      </c>
      <c r="N554" s="1694"/>
      <c r="O554" s="1694"/>
      <c r="P554" s="1694"/>
      <c r="Q554" s="1454">
        <v>36</v>
      </c>
      <c r="R554" s="1454"/>
      <c r="S554" s="1455"/>
      <c r="T554" s="1453"/>
      <c r="U554" s="1454"/>
      <c r="V554" s="1455"/>
      <c r="W554" s="1456">
        <v>0.06</v>
      </c>
      <c r="X554" s="1457"/>
      <c r="Y554" s="1458"/>
      <c r="Z554" s="1695" t="s">
        <v>2692</v>
      </c>
      <c r="AA554" s="1695"/>
      <c r="AB554" s="1695"/>
      <c r="AC554" s="1695"/>
      <c r="AD554" s="1695"/>
      <c r="AE554" s="1676">
        <v>1</v>
      </c>
      <c r="AF554" s="1677"/>
      <c r="AG554" s="1677"/>
      <c r="AH554" s="1678"/>
      <c r="AI554" s="1679"/>
      <c r="AJ554" s="1680"/>
      <c r="AK554" s="1680"/>
      <c r="AL554" s="1681"/>
      <c r="AM554" s="1669">
        <v>53000000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2693</v>
      </c>
      <c r="D555" s="1682"/>
      <c r="E555" s="1682"/>
      <c r="F555" s="1682"/>
      <c r="G555" s="1682"/>
      <c r="H555" s="1682"/>
      <c r="I555" s="1682"/>
      <c r="J555" s="1682"/>
      <c r="K555" s="1682"/>
      <c r="L555" s="1682"/>
      <c r="M555" s="1694" t="s">
        <v>2120</v>
      </c>
      <c r="N555" s="1694"/>
      <c r="O555" s="1694"/>
      <c r="P555" s="1694"/>
      <c r="Q555" s="1453">
        <v>36</v>
      </c>
      <c r="R555" s="1454"/>
      <c r="S555" s="1455"/>
      <c r="T555" s="1453"/>
      <c r="U555" s="1454"/>
      <c r="V555" s="1455"/>
      <c r="W555" s="1456">
        <v>6.5000000000000002E-2</v>
      </c>
      <c r="X555" s="1457"/>
      <c r="Y555" s="1458"/>
      <c r="Z555" s="1695" t="s">
        <v>2692</v>
      </c>
      <c r="AA555" s="1695"/>
      <c r="AB555" s="1695"/>
      <c r="AC555" s="1695"/>
      <c r="AD555" s="1695"/>
      <c r="AE555" s="1676">
        <v>1</v>
      </c>
      <c r="AF555" s="1677"/>
      <c r="AG555" s="1677"/>
      <c r="AH555" s="1678"/>
      <c r="AI555" s="1679"/>
      <c r="AJ555" s="1680"/>
      <c r="AK555" s="1680"/>
      <c r="AL555" s="1681"/>
      <c r="AM555" s="1669">
        <v>8000000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2713</v>
      </c>
      <c r="D556" s="1682"/>
      <c r="E556" s="1682"/>
      <c r="F556" s="1682"/>
      <c r="G556" s="1682"/>
      <c r="H556" s="1682"/>
      <c r="I556" s="1682"/>
      <c r="J556" s="1682"/>
      <c r="K556" s="1682"/>
      <c r="L556" s="1682"/>
      <c r="M556" s="1694" t="s">
        <v>2122</v>
      </c>
      <c r="N556" s="1694"/>
      <c r="O556" s="1694"/>
      <c r="P556" s="1694"/>
      <c r="Q556" s="1453">
        <v>36</v>
      </c>
      <c r="R556" s="1454"/>
      <c r="S556" s="1455"/>
      <c r="T556" s="1453"/>
      <c r="U556" s="1454"/>
      <c r="V556" s="1455"/>
      <c r="W556" s="1456">
        <v>0.06</v>
      </c>
      <c r="X556" s="1457"/>
      <c r="Y556" s="1458"/>
      <c r="Z556" s="1695" t="s">
        <v>1185</v>
      </c>
      <c r="AA556" s="1695"/>
      <c r="AB556" s="1695"/>
      <c r="AC556" s="1695"/>
      <c r="AD556" s="1695"/>
      <c r="AE556" s="1676">
        <v>1</v>
      </c>
      <c r="AF556" s="1677"/>
      <c r="AG556" s="1677"/>
      <c r="AH556" s="1678"/>
      <c r="AI556" s="1679"/>
      <c r="AJ556" s="1680"/>
      <c r="AK556" s="1680"/>
      <c r="AL556" s="1681"/>
      <c r="AM556" s="1669">
        <v>11000000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2323</v>
      </c>
      <c r="D557" s="1682"/>
      <c r="E557" s="1682"/>
      <c r="F557" s="1682"/>
      <c r="G557" s="1682"/>
      <c r="H557" s="1682"/>
      <c r="I557" s="1682"/>
      <c r="J557" s="1682"/>
      <c r="K557" s="1682"/>
      <c r="L557" s="1682"/>
      <c r="M557" s="1694" t="s">
        <v>2108</v>
      </c>
      <c r="N557" s="1694"/>
      <c r="O557" s="1694"/>
      <c r="P557" s="1694"/>
      <c r="Q557" s="1453"/>
      <c r="R557" s="1454"/>
      <c r="S557" s="1455"/>
      <c r="T557" s="1453"/>
      <c r="U557" s="1454"/>
      <c r="V557" s="1455"/>
      <c r="W557" s="1456"/>
      <c r="X557" s="1457"/>
      <c r="Y557" s="1458"/>
      <c r="Z557" s="1695" t="s">
        <v>1185</v>
      </c>
      <c r="AA557" s="1695"/>
      <c r="AB557" s="1695"/>
      <c r="AC557" s="1695"/>
      <c r="AD557" s="1695"/>
      <c r="AE557" s="1676"/>
      <c r="AF557" s="1677"/>
      <c r="AG557" s="1677"/>
      <c r="AH557" s="1678"/>
      <c r="AI557" s="1679"/>
      <c r="AJ557" s="1680"/>
      <c r="AK557" s="1680"/>
      <c r="AL557" s="1681"/>
      <c r="AM557" s="1669">
        <v>11830822</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2694</v>
      </c>
      <c r="D558" s="1682"/>
      <c r="E558" s="1682"/>
      <c r="F558" s="1682"/>
      <c r="G558" s="1682"/>
      <c r="H558" s="1682"/>
      <c r="I558" s="1682"/>
      <c r="J558" s="1682"/>
      <c r="K558" s="1682"/>
      <c r="L558" s="1682"/>
      <c r="M558" s="1694" t="s">
        <v>2107</v>
      </c>
      <c r="N558" s="1694"/>
      <c r="O558" s="1694"/>
      <c r="P558" s="1694"/>
      <c r="Q558" s="1453"/>
      <c r="R558" s="1454"/>
      <c r="S558" s="1455"/>
      <c r="T558" s="1453"/>
      <c r="U558" s="1454"/>
      <c r="V558" s="1455"/>
      <c r="W558" s="1456"/>
      <c r="X558" s="1457"/>
      <c r="Y558" s="1458"/>
      <c r="Z558" s="1695" t="s">
        <v>1185</v>
      </c>
      <c r="AA558" s="1695"/>
      <c r="AB558" s="1695"/>
      <c r="AC558" s="1695"/>
      <c r="AD558" s="1695"/>
      <c r="AE558" s="1676"/>
      <c r="AF558" s="1677"/>
      <c r="AG558" s="1677"/>
      <c r="AH558" s="1678"/>
      <c r="AI558" s="1679"/>
      <c r="AJ558" s="1680"/>
      <c r="AK558" s="1680"/>
      <c r="AL558" s="1681"/>
      <c r="AM558" s="1669">
        <v>1262043</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t="s">
        <v>2714</v>
      </c>
      <c r="D559" s="1682"/>
      <c r="E559" s="1682"/>
      <c r="F559" s="1682"/>
      <c r="G559" s="1682"/>
      <c r="H559" s="1682"/>
      <c r="I559" s="1682"/>
      <c r="J559" s="1682"/>
      <c r="K559" s="1682"/>
      <c r="L559" s="1682"/>
      <c r="M559" s="1694" t="s">
        <v>2112</v>
      </c>
      <c r="N559" s="1694"/>
      <c r="O559" s="1694"/>
      <c r="P559" s="1694"/>
      <c r="Q559" s="1453"/>
      <c r="R559" s="1454"/>
      <c r="S559" s="1455"/>
      <c r="T559" s="1453"/>
      <c r="U559" s="1454"/>
      <c r="V559" s="1455"/>
      <c r="W559" s="1456"/>
      <c r="X559" s="1457"/>
      <c r="Y559" s="1458"/>
      <c r="Z559" s="1695" t="s">
        <v>1185</v>
      </c>
      <c r="AA559" s="1695"/>
      <c r="AB559" s="1695"/>
      <c r="AC559" s="1695"/>
      <c r="AD559" s="1695"/>
      <c r="AE559" s="1676"/>
      <c r="AF559" s="1677"/>
      <c r="AG559" s="1677"/>
      <c r="AH559" s="1678"/>
      <c r="AI559" s="1679"/>
      <c r="AJ559" s="1680"/>
      <c r="AK559" s="1680"/>
      <c r="AL559" s="1681"/>
      <c r="AM559" s="1669">
        <v>12856135</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1185</v>
      </c>
      <c r="N560" s="1694"/>
      <c r="O560" s="1694"/>
      <c r="P560" s="1694"/>
      <c r="Q560" s="1453"/>
      <c r="R560" s="1454"/>
      <c r="S560" s="1455"/>
      <c r="T560" s="1453"/>
      <c r="U560" s="1454"/>
      <c r="V560" s="1455"/>
      <c r="W560" s="1456"/>
      <c r="X560" s="1457"/>
      <c r="Y560" s="1458"/>
      <c r="Z560" s="1695" t="s">
        <v>1185</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1185</v>
      </c>
      <c r="N561" s="1694"/>
      <c r="O561" s="1694"/>
      <c r="P561" s="1694"/>
      <c r="Q561" s="1453"/>
      <c r="R561" s="1454"/>
      <c r="S561" s="1455"/>
      <c r="T561" s="1453"/>
      <c r="U561" s="1454"/>
      <c r="V561" s="1455"/>
      <c r="W561" s="1456"/>
      <c r="X561" s="1457"/>
      <c r="Y561" s="1458"/>
      <c r="Z561" s="1695" t="s">
        <v>1185</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3"/>
      <c r="R562" s="1454"/>
      <c r="S562" s="1455"/>
      <c r="T562" s="1453"/>
      <c r="U562" s="1454"/>
      <c r="V562" s="1455"/>
      <c r="W562" s="1456"/>
      <c r="X562" s="1457"/>
      <c r="Y562" s="1458"/>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3"/>
      <c r="R563" s="1454"/>
      <c r="S563" s="1455"/>
      <c r="T563" s="1453"/>
      <c r="U563" s="1454"/>
      <c r="V563" s="1455"/>
      <c r="W563" s="1456"/>
      <c r="X563" s="1457"/>
      <c r="Y563" s="1458"/>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3"/>
      <c r="R564" s="1454"/>
      <c r="S564" s="1455"/>
      <c r="T564" s="1453"/>
      <c r="U564" s="1454"/>
      <c r="V564" s="1455"/>
      <c r="W564" s="1456"/>
      <c r="X564" s="1457"/>
      <c r="Y564" s="1458"/>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3"/>
      <c r="R565" s="1454"/>
      <c r="S565" s="1455"/>
      <c r="T565" s="1453"/>
      <c r="U565" s="1454"/>
      <c r="V565" s="1455"/>
      <c r="W565" s="1456"/>
      <c r="X565" s="1457"/>
      <c r="Y565" s="1458"/>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97949000</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60" t="str">
        <f>C554</f>
        <v xml:space="preserve">Citi-Tax Exempt Construction </v>
      </c>
      <c r="H568" s="1360"/>
      <c r="I568" s="1360"/>
      <c r="J568" s="1360"/>
      <c r="K568" s="1360"/>
      <c r="L568" s="1360"/>
      <c r="M568" s="1360"/>
      <c r="N568" s="1360"/>
      <c r="O568" s="1360"/>
      <c r="P568" s="1360"/>
      <c r="Q568" s="1360"/>
      <c r="R568" s="1360"/>
      <c r="S568" s="8"/>
      <c r="T568" s="55" t="s">
        <v>113</v>
      </c>
      <c r="U568" t="s">
        <v>464</v>
      </c>
      <c r="Z568" s="1360" t="str">
        <f>C555</f>
        <v>Citi-Taxable Construction</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5" customHeight="1">
      <c r="A569" s="22"/>
      <c r="B569" t="s">
        <v>85</v>
      </c>
      <c r="G569" s="1373" t="s">
        <v>2695</v>
      </c>
      <c r="H569" s="1373"/>
      <c r="I569" s="1373"/>
      <c r="J569" s="1373"/>
      <c r="K569" s="1373"/>
      <c r="L569" s="1373"/>
      <c r="M569" s="1373"/>
      <c r="N569" s="1373"/>
      <c r="O569" s="1373"/>
      <c r="P569" s="1373"/>
      <c r="Q569" s="1373"/>
      <c r="R569" s="1373"/>
      <c r="S569" s="8"/>
      <c r="T569" s="22"/>
      <c r="U569" t="s">
        <v>85</v>
      </c>
      <c r="Z569" s="1373" t="s">
        <v>2701</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581</v>
      </c>
      <c r="G570" s="1373" t="s">
        <v>2696</v>
      </c>
      <c r="H570" s="1373"/>
      <c r="I570" s="1373"/>
      <c r="J570" s="1373"/>
      <c r="K570" s="1373"/>
      <c r="L570" s="1373"/>
      <c r="M570" s="1373"/>
      <c r="N570" s="1373"/>
      <c r="O570" s="1373"/>
      <c r="P570" s="1373"/>
      <c r="Q570" s="1373"/>
      <c r="R570" s="1373"/>
      <c r="T570" s="22"/>
      <c r="U570" t="s">
        <v>581</v>
      </c>
      <c r="Z570" s="1350" t="s">
        <v>2696</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2.95" customHeight="1">
      <c r="A571" s="22"/>
      <c r="B571" t="s">
        <v>17</v>
      </c>
      <c r="G571" s="1373" t="s">
        <v>2697</v>
      </c>
      <c r="H571" s="1373"/>
      <c r="I571" s="1373"/>
      <c r="J571" s="1373"/>
      <c r="K571" s="1373"/>
      <c r="L571" s="1373"/>
      <c r="M571" s="1373"/>
      <c r="N571" s="1373"/>
      <c r="O571" s="1373"/>
      <c r="P571" s="1373"/>
      <c r="Q571" s="1373"/>
      <c r="R571" s="1373"/>
      <c r="S571" s="8"/>
      <c r="T571" s="22"/>
      <c r="U571" t="s">
        <v>17</v>
      </c>
      <c r="Z571" s="1350" t="s">
        <v>2697</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2.95" customHeight="1">
      <c r="A572" s="22"/>
      <c r="B572" t="s">
        <v>316</v>
      </c>
      <c r="G572" s="1347" t="s">
        <v>2698</v>
      </c>
      <c r="H572" s="1348"/>
      <c r="I572" s="1348"/>
      <c r="J572" s="1348"/>
      <c r="K572" s="1348"/>
      <c r="L572" s="1348"/>
      <c r="O572" s="33" t="s">
        <v>206</v>
      </c>
      <c r="P572" s="1438"/>
      <c r="Q572" s="1438"/>
      <c r="R572" s="1438"/>
      <c r="S572" s="10"/>
      <c r="T572" s="22"/>
      <c r="U572" t="s">
        <v>316</v>
      </c>
      <c r="Z572" s="1347" t="s">
        <v>2698</v>
      </c>
      <c r="AA572" s="1348"/>
      <c r="AB572" s="1348"/>
      <c r="AC572" s="1348"/>
      <c r="AD572" s="1348"/>
      <c r="AE572" s="1348"/>
      <c r="AH572" s="33" t="s">
        <v>206</v>
      </c>
      <c r="AI572" s="1438"/>
      <c r="AJ572" s="1438"/>
      <c r="AK572" s="1438"/>
      <c r="BB572" s="3"/>
      <c r="BC572" s="3"/>
      <c r="BD572" s="3"/>
      <c r="BE572" s="3"/>
      <c r="BF572" s="3"/>
      <c r="BG572" s="3"/>
      <c r="BH572" s="3"/>
      <c r="BI572" s="3"/>
    </row>
    <row r="573" spans="1:61" ht="12.95" customHeight="1">
      <c r="A573" s="22"/>
      <c r="B573" t="s">
        <v>18</v>
      </c>
      <c r="H573" s="1373" t="s">
        <v>2699</v>
      </c>
      <c r="I573" s="1373"/>
      <c r="J573" s="1373"/>
      <c r="K573" s="1373"/>
      <c r="L573" s="1373"/>
      <c r="M573" s="1373"/>
      <c r="N573" s="1373"/>
      <c r="O573" s="1373"/>
      <c r="P573" s="1373"/>
      <c r="Q573" s="1373"/>
      <c r="R573" s="1373"/>
      <c r="S573" s="8"/>
      <c r="T573" s="22"/>
      <c r="U573" t="s">
        <v>18</v>
      </c>
      <c r="AA573" s="1373" t="s">
        <v>2702</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1186</v>
      </c>
      <c r="H574" s="8"/>
      <c r="I574" s="8"/>
      <c r="J574" s="8"/>
      <c r="K574" s="8"/>
      <c r="L574" s="8"/>
      <c r="M574" s="1697" t="s">
        <v>2700</v>
      </c>
      <c r="N574" s="1697"/>
      <c r="O574" s="1697"/>
      <c r="P574" s="1697"/>
      <c r="Q574" s="1697"/>
      <c r="R574" s="1697"/>
      <c r="S574" s="8"/>
      <c r="T574" s="22"/>
      <c r="U574" s="320" t="s">
        <v>1186</v>
      </c>
      <c r="AA574" s="8"/>
      <c r="AB574" s="8"/>
      <c r="AC574" s="8"/>
      <c r="AD574" s="8"/>
      <c r="AE574" s="8"/>
      <c r="AF574" s="1697" t="s">
        <v>2700</v>
      </c>
      <c r="AG574" s="1697"/>
      <c r="AH574" s="1697"/>
      <c r="AI574" s="1697"/>
      <c r="AJ574" s="1697"/>
      <c r="AK574" s="1697"/>
      <c r="BB574" s="3"/>
      <c r="BC574" s="3"/>
      <c r="BD574" s="3"/>
      <c r="BE574" s="3"/>
      <c r="BF574" s="3"/>
      <c r="BG574" s="3"/>
      <c r="BH574" s="3"/>
      <c r="BI574" s="3"/>
    </row>
    <row r="575" spans="1:61" ht="12.95" customHeight="1">
      <c r="A575" s="22"/>
      <c r="B575" t="s">
        <v>20</v>
      </c>
      <c r="N575" s="1333" t="s">
        <v>546</v>
      </c>
      <c r="O575" s="1333"/>
      <c r="T575" s="22"/>
      <c r="U575" t="s">
        <v>20</v>
      </c>
      <c r="AG575" s="1333" t="s">
        <v>546</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0" t="str">
        <f>C556</f>
        <v>Citi- Recycled Bond</v>
      </c>
      <c r="H577" s="1360"/>
      <c r="I577" s="1360"/>
      <c r="J577" s="1360"/>
      <c r="K577" s="1360"/>
      <c r="L577" s="1360"/>
      <c r="M577" s="1360"/>
      <c r="N577" s="1360"/>
      <c r="O577" s="1360"/>
      <c r="P577" s="1360"/>
      <c r="Q577" s="1360"/>
      <c r="R577" s="1360"/>
      <c r="T577" s="55" t="s">
        <v>582</v>
      </c>
      <c r="U577" t="s">
        <v>464</v>
      </c>
      <c r="Z577" s="1360" t="str">
        <f>C557</f>
        <v>Deferred Developer Fee</v>
      </c>
      <c r="AA577" s="1360"/>
      <c r="AB577" s="1360"/>
      <c r="AC577" s="1360"/>
      <c r="AD577" s="1360"/>
      <c r="AE577" s="1360"/>
      <c r="AF577" s="1360"/>
      <c r="AG577" s="1360"/>
      <c r="AH577" s="1360"/>
      <c r="AI577" s="1360"/>
      <c r="AJ577" s="1360"/>
      <c r="AK577" s="1360"/>
      <c r="BB577" s="3"/>
      <c r="BC577" s="3"/>
    </row>
    <row r="578" spans="1:55" ht="12.95" customHeight="1">
      <c r="A578" s="22"/>
      <c r="B578" t="s">
        <v>85</v>
      </c>
      <c r="G578" s="1373" t="s">
        <v>2701</v>
      </c>
      <c r="H578" s="1373"/>
      <c r="I578" s="1373"/>
      <c r="J578" s="1373"/>
      <c r="K578" s="1373"/>
      <c r="L578" s="1373"/>
      <c r="M578" s="1373"/>
      <c r="N578" s="1373"/>
      <c r="O578" s="1373"/>
      <c r="P578" s="1373"/>
      <c r="Q578" s="1373"/>
      <c r="R578" s="1373"/>
      <c r="T578" s="22"/>
      <c r="U578" t="s">
        <v>85</v>
      </c>
      <c r="Z578" s="1373" t="s">
        <v>2623</v>
      </c>
      <c r="AA578" s="1373"/>
      <c r="AB578" s="1373"/>
      <c r="AC578" s="1373"/>
      <c r="AD578" s="1373"/>
      <c r="AE578" s="1373"/>
      <c r="AF578" s="1373"/>
      <c r="AG578" s="1373"/>
      <c r="AH578" s="1373"/>
      <c r="AI578" s="1373"/>
      <c r="AJ578" s="1373"/>
      <c r="AK578" s="1373"/>
      <c r="BB578" s="3"/>
      <c r="BC578" s="3"/>
    </row>
    <row r="579" spans="1:55" ht="12.95" customHeight="1">
      <c r="A579" s="22"/>
      <c r="B579" t="s">
        <v>581</v>
      </c>
      <c r="G579" s="1350" t="s">
        <v>2696</v>
      </c>
      <c r="H579" s="1350"/>
      <c r="I579" s="1350"/>
      <c r="J579" s="1350"/>
      <c r="K579" s="1350"/>
      <c r="L579" s="1350"/>
      <c r="M579" s="1350"/>
      <c r="N579" s="1350"/>
      <c r="O579" s="1350"/>
      <c r="P579" s="1350"/>
      <c r="Q579" s="1350"/>
      <c r="R579" s="1350"/>
      <c r="T579" s="22"/>
      <c r="U579" t="s">
        <v>581</v>
      </c>
      <c r="Z579" s="1350" t="s">
        <v>2703</v>
      </c>
      <c r="AA579" s="1350"/>
      <c r="AB579" s="1350"/>
      <c r="AC579" s="1350"/>
      <c r="AD579" s="1350"/>
      <c r="AE579" s="1350"/>
      <c r="AF579" s="1350"/>
      <c r="AG579" s="1350"/>
      <c r="AH579" s="1350"/>
      <c r="AI579" s="1350"/>
      <c r="AJ579" s="1350"/>
      <c r="AK579" s="1350"/>
      <c r="BB579" s="3"/>
      <c r="BC579" s="3"/>
    </row>
    <row r="580" spans="1:55" ht="12.95" customHeight="1">
      <c r="A580" s="22"/>
      <c r="B580" t="s">
        <v>17</v>
      </c>
      <c r="G580" s="1459" t="s">
        <v>2697</v>
      </c>
      <c r="H580" s="1350"/>
      <c r="I580" s="1350"/>
      <c r="J580" s="1350"/>
      <c r="K580" s="1350"/>
      <c r="L580" s="1350"/>
      <c r="M580" s="1350"/>
      <c r="N580" s="1350"/>
      <c r="O580" s="1350"/>
      <c r="P580" s="1350"/>
      <c r="Q580" s="1350"/>
      <c r="R580" s="1350"/>
      <c r="T580" s="22"/>
      <c r="U580" t="s">
        <v>17</v>
      </c>
      <c r="Z580" s="1459" t="s">
        <v>2715</v>
      </c>
      <c r="AA580" s="1350"/>
      <c r="AB580" s="1350"/>
      <c r="AC580" s="1350"/>
      <c r="AD580" s="1350"/>
      <c r="AE580" s="1350"/>
      <c r="AF580" s="1350"/>
      <c r="AG580" s="1350"/>
      <c r="AH580" s="1350"/>
      <c r="AI580" s="1350"/>
      <c r="AJ580" s="1350"/>
      <c r="AK580" s="1350"/>
      <c r="BB580" s="3"/>
      <c r="BC580" s="3"/>
    </row>
    <row r="581" spans="1:55" ht="12.95" customHeight="1">
      <c r="A581" s="22"/>
      <c r="B581" t="s">
        <v>316</v>
      </c>
      <c r="G581" s="1347" t="s">
        <v>2698</v>
      </c>
      <c r="H581" s="1348"/>
      <c r="I581" s="1348"/>
      <c r="J581" s="1348"/>
      <c r="K581" s="1348"/>
      <c r="L581" s="1348"/>
      <c r="O581" s="33" t="s">
        <v>206</v>
      </c>
      <c r="P581" s="1438"/>
      <c r="Q581" s="1438"/>
      <c r="R581" s="1438"/>
      <c r="T581" s="22"/>
      <c r="U581" t="s">
        <v>316</v>
      </c>
      <c r="Z581" s="1347" t="s">
        <v>2718</v>
      </c>
      <c r="AA581" s="1348"/>
      <c r="AB581" s="1348"/>
      <c r="AC581" s="1348"/>
      <c r="AD581" s="1348"/>
      <c r="AE581" s="1348"/>
      <c r="AH581" s="33" t="s">
        <v>206</v>
      </c>
      <c r="AI581" s="1438"/>
      <c r="AJ581" s="1438"/>
      <c r="AK581" s="1438"/>
      <c r="BB581" s="3"/>
      <c r="BC581" s="3"/>
    </row>
    <row r="582" spans="1:55" ht="12.95" customHeight="1">
      <c r="A582" s="22"/>
      <c r="B582" t="s">
        <v>18</v>
      </c>
      <c r="H582" s="1373" t="s">
        <v>2699</v>
      </c>
      <c r="I582" s="1373"/>
      <c r="J582" s="1373"/>
      <c r="K582" s="1373"/>
      <c r="L582" s="1373"/>
      <c r="M582" s="1373"/>
      <c r="N582" s="1373"/>
      <c r="O582" s="1373"/>
      <c r="P582" s="1373"/>
      <c r="Q582" s="1373"/>
      <c r="R582" s="1373"/>
      <c r="T582" s="22"/>
      <c r="U582" t="s">
        <v>18</v>
      </c>
      <c r="AA582" s="1373" t="s">
        <v>2694</v>
      </c>
      <c r="AB582" s="1373"/>
      <c r="AC582" s="1373"/>
      <c r="AD582" s="1373"/>
      <c r="AE582" s="1373"/>
      <c r="AF582" s="1373"/>
      <c r="AG582" s="1373"/>
      <c r="AH582" s="1373"/>
      <c r="AI582" s="1373"/>
      <c r="AJ582" s="1373"/>
      <c r="AK582" s="1373"/>
      <c r="BB582" s="3"/>
      <c r="BC582" s="3"/>
    </row>
    <row r="583" spans="1:55" ht="12.95" customHeight="1">
      <c r="A583" s="22"/>
      <c r="B583" t="s">
        <v>20</v>
      </c>
      <c r="N583" s="1333" t="s">
        <v>546</v>
      </c>
      <c r="O583" s="1333"/>
      <c r="T583" s="22"/>
      <c r="U583" t="s">
        <v>20</v>
      </c>
      <c r="AG583" s="1333" t="s">
        <v>546</v>
      </c>
      <c r="AH583" s="1333"/>
      <c r="BB583" s="3"/>
      <c r="BC583" s="3"/>
    </row>
    <row r="584" spans="1:55" ht="12.95" customHeight="1">
      <c r="A584" s="22"/>
      <c r="T584" s="22"/>
      <c r="BB584" s="3"/>
      <c r="BC584" s="3"/>
    </row>
    <row r="585" spans="1:55" ht="12.95" customHeight="1">
      <c r="A585" s="55" t="s">
        <v>764</v>
      </c>
      <c r="B585" t="s">
        <v>464</v>
      </c>
      <c r="G585" s="1360" t="str">
        <f>C558</f>
        <v>Deferred Costs</v>
      </c>
      <c r="H585" s="1360"/>
      <c r="I585" s="1360"/>
      <c r="J585" s="1360"/>
      <c r="K585" s="1360"/>
      <c r="L585" s="1360"/>
      <c r="M585" s="1360"/>
      <c r="N585" s="1360"/>
      <c r="O585" s="1360"/>
      <c r="P585" s="1360"/>
      <c r="Q585" s="1360"/>
      <c r="R585" s="1360"/>
      <c r="T585" s="55" t="s">
        <v>585</v>
      </c>
      <c r="U585" t="s">
        <v>464</v>
      </c>
      <c r="Z585" s="1360" t="str">
        <f>C559</f>
        <v>LIHTC Equity</v>
      </c>
      <c r="AA585" s="1360"/>
      <c r="AB585" s="1360"/>
      <c r="AC585" s="1360"/>
      <c r="AD585" s="1360"/>
      <c r="AE585" s="1360"/>
      <c r="AF585" s="1360"/>
      <c r="AG585" s="1360"/>
      <c r="AH585" s="1360"/>
      <c r="AI585" s="1360"/>
      <c r="AJ585" s="1360"/>
      <c r="AK585" s="1360"/>
      <c r="BB585" s="3"/>
      <c r="BC585" s="3"/>
    </row>
    <row r="586" spans="1:55" ht="12.95" customHeight="1">
      <c r="A586" s="22"/>
      <c r="B586" t="s">
        <v>85</v>
      </c>
      <c r="G586" s="1373" t="s">
        <v>2623</v>
      </c>
      <c r="H586" s="1373"/>
      <c r="I586" s="1373"/>
      <c r="J586" s="1373"/>
      <c r="K586" s="1373"/>
      <c r="L586" s="1373"/>
      <c r="M586" s="1373"/>
      <c r="N586" s="1373"/>
      <c r="O586" s="1373"/>
      <c r="P586" s="1373"/>
      <c r="Q586" s="1373"/>
      <c r="R586" s="1373"/>
      <c r="T586" s="22"/>
      <c r="U586" t="s">
        <v>85</v>
      </c>
      <c r="Z586" s="1418" t="s">
        <v>2732</v>
      </c>
      <c r="AA586" s="1373"/>
      <c r="AB586" s="1373"/>
      <c r="AC586" s="1373"/>
      <c r="AD586" s="1373"/>
      <c r="AE586" s="1373"/>
      <c r="AF586" s="1373"/>
      <c r="AG586" s="1373"/>
      <c r="AH586" s="1373"/>
      <c r="AI586" s="1373"/>
      <c r="AJ586" s="1373"/>
      <c r="AK586" s="1373"/>
      <c r="BB586" s="3"/>
      <c r="BC586" s="3"/>
    </row>
    <row r="587" spans="1:55" ht="12.95" customHeight="1">
      <c r="A587" s="22"/>
      <c r="B587" t="s">
        <v>581</v>
      </c>
      <c r="G587" s="1373" t="s">
        <v>2703</v>
      </c>
      <c r="H587" s="1373"/>
      <c r="I587" s="1373"/>
      <c r="J587" s="1373"/>
      <c r="K587" s="1373"/>
      <c r="L587" s="1373"/>
      <c r="M587" s="1373"/>
      <c r="N587" s="1373"/>
      <c r="O587" s="1373"/>
      <c r="P587" s="1373"/>
      <c r="Q587" s="1373"/>
      <c r="R587" s="1373"/>
      <c r="T587" s="22"/>
      <c r="U587" t="s">
        <v>581</v>
      </c>
      <c r="Z587" s="1459" t="s">
        <v>2670</v>
      </c>
      <c r="AA587" s="1350"/>
      <c r="AB587" s="1350"/>
      <c r="AC587" s="1350"/>
      <c r="AD587" s="1350"/>
      <c r="AE587" s="1350"/>
      <c r="AF587" s="1350"/>
      <c r="AG587" s="1350"/>
      <c r="AH587" s="1350"/>
      <c r="AI587" s="1350"/>
      <c r="AJ587" s="1350"/>
      <c r="AK587" s="1350"/>
      <c r="BB587" s="3"/>
      <c r="BC587" s="3"/>
    </row>
    <row r="588" spans="1:55" ht="12.95" customHeight="1">
      <c r="A588" s="22"/>
      <c r="B588" t="s">
        <v>17</v>
      </c>
      <c r="G588" s="1373" t="s">
        <v>2715</v>
      </c>
      <c r="H588" s="1373"/>
      <c r="I588" s="1373"/>
      <c r="J588" s="1373"/>
      <c r="K588" s="1373"/>
      <c r="L588" s="1373"/>
      <c r="M588" s="1373"/>
      <c r="N588" s="1373"/>
      <c r="O588" s="1373"/>
      <c r="P588" s="1373"/>
      <c r="Q588" s="1373"/>
      <c r="R588" s="1373"/>
      <c r="T588" s="22"/>
      <c r="U588" t="s">
        <v>17</v>
      </c>
      <c r="Z588" s="1459" t="s">
        <v>2731</v>
      </c>
      <c r="AA588" s="1350"/>
      <c r="AB588" s="1350"/>
      <c r="AC588" s="1350"/>
      <c r="AD588" s="1350"/>
      <c r="AE588" s="1350"/>
      <c r="AF588" s="1350"/>
      <c r="AG588" s="1350"/>
      <c r="AH588" s="1350"/>
      <c r="AI588" s="1350"/>
      <c r="AJ588" s="1350"/>
      <c r="AK588" s="1350"/>
    </row>
    <row r="589" spans="1:55" ht="12.95" customHeight="1">
      <c r="A589" s="22"/>
      <c r="B589" t="s">
        <v>316</v>
      </c>
      <c r="G589" s="1347" t="s">
        <v>2718</v>
      </c>
      <c r="H589" s="1348"/>
      <c r="I589" s="1348"/>
      <c r="J589" s="1348"/>
      <c r="K589" s="1348"/>
      <c r="L589" s="1348"/>
      <c r="O589" s="33" t="s">
        <v>206</v>
      </c>
      <c r="P589" s="1438"/>
      <c r="Q589" s="1438"/>
      <c r="R589" s="1438"/>
      <c r="T589" s="22"/>
      <c r="U589" t="s">
        <v>316</v>
      </c>
      <c r="Z589" s="1347" t="s">
        <v>2733</v>
      </c>
      <c r="AA589" s="1348"/>
      <c r="AB589" s="1348"/>
      <c r="AC589" s="1348"/>
      <c r="AD589" s="1348"/>
      <c r="AE589" s="1348"/>
      <c r="AH589" s="33" t="s">
        <v>206</v>
      </c>
      <c r="AI589" s="1438"/>
      <c r="AJ589" s="1438"/>
      <c r="AK589" s="1438"/>
      <c r="AZ589" s="3"/>
      <c r="BA589" s="3"/>
      <c r="BB589" s="3"/>
      <c r="BC589" s="3"/>
    </row>
    <row r="590" spans="1:55" ht="12.95" customHeight="1">
      <c r="A590" s="22"/>
      <c r="B590" t="s">
        <v>18</v>
      </c>
      <c r="H590" s="1373" t="s">
        <v>2694</v>
      </c>
      <c r="I590" s="1373"/>
      <c r="J590" s="1373"/>
      <c r="K590" s="1373"/>
      <c r="L590" s="1373"/>
      <c r="M590" s="1373"/>
      <c r="N590" s="1373"/>
      <c r="O590" s="1373"/>
      <c r="P590" s="1373"/>
      <c r="Q590" s="1373"/>
      <c r="R590" s="1373"/>
      <c r="T590" s="22"/>
      <c r="U590" t="s">
        <v>18</v>
      </c>
      <c r="AA590" s="1373" t="s">
        <v>2704</v>
      </c>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3" t="s">
        <v>546</v>
      </c>
      <c r="O591" s="1333"/>
      <c r="T591" s="22"/>
      <c r="U591" t="s">
        <v>20</v>
      </c>
      <c r="AG591" s="1333" t="s">
        <v>546</v>
      </c>
      <c r="AH591" s="1333"/>
      <c r="AZ591" s="3"/>
      <c r="BA591" s="3"/>
      <c r="BB591" s="3"/>
      <c r="BC591" s="3"/>
    </row>
    <row r="592" spans="1:55" ht="12.95" customHeight="1">
      <c r="A592" s="22"/>
      <c r="T592" s="22"/>
      <c r="AZ592" s="3"/>
      <c r="BA592" s="3"/>
      <c r="BB592" s="3"/>
      <c r="BC592" s="3"/>
    </row>
    <row r="593" spans="1:55" ht="12.95" customHeight="1">
      <c r="A593" s="55" t="s">
        <v>456</v>
      </c>
      <c r="B593" t="s">
        <v>464</v>
      </c>
      <c r="G593" s="1360">
        <f>C560</f>
        <v>0</v>
      </c>
      <c r="H593" s="1360"/>
      <c r="I593" s="1360"/>
      <c r="J593" s="1360"/>
      <c r="K593" s="1360"/>
      <c r="L593" s="1360"/>
      <c r="M593" s="1360"/>
      <c r="N593" s="1360"/>
      <c r="O593" s="1360"/>
      <c r="P593" s="1360"/>
      <c r="Q593" s="1360"/>
      <c r="R593" s="1360"/>
      <c r="T593" s="55" t="s">
        <v>457</v>
      </c>
      <c r="U593" t="s">
        <v>464</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2.9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8"/>
      <c r="H597" s="1348"/>
      <c r="I597" s="1348"/>
      <c r="J597" s="1348"/>
      <c r="K597" s="1348"/>
      <c r="L597" s="1348"/>
      <c r="M597"/>
      <c r="N597"/>
      <c r="O597" s="33" t="s">
        <v>206</v>
      </c>
      <c r="P597" s="1438"/>
      <c r="Q597" s="1438"/>
      <c r="R597" s="1438"/>
      <c r="S597"/>
      <c r="T597" s="22"/>
      <c r="U597" t="s">
        <v>316</v>
      </c>
      <c r="V597"/>
      <c r="W597"/>
      <c r="X597"/>
      <c r="Y597"/>
      <c r="Z597" s="1348"/>
      <c r="AA597" s="1348"/>
      <c r="AB597" s="1348"/>
      <c r="AC597" s="1348"/>
      <c r="AD597" s="1348"/>
      <c r="AE597" s="1348"/>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3" t="s">
        <v>670</v>
      </c>
      <c r="O599" s="1333"/>
      <c r="T599" s="22"/>
      <c r="U599" t="s">
        <v>20</v>
      </c>
      <c r="AG599" s="1333" t="s">
        <v>670</v>
      </c>
      <c r="AH599" s="1333"/>
      <c r="BB599" s="3"/>
      <c r="BC599" s="3"/>
    </row>
    <row r="600" spans="1:55" ht="12.95" customHeight="1">
      <c r="A600" s="22"/>
      <c r="T600" s="22"/>
      <c r="BB600" s="3"/>
      <c r="BC600" s="3"/>
    </row>
    <row r="601" spans="1:55" ht="12.95" customHeight="1">
      <c r="A601" s="55" t="s">
        <v>462</v>
      </c>
      <c r="B601" t="s">
        <v>464</v>
      </c>
      <c r="G601" s="1360">
        <f>C562</f>
        <v>0</v>
      </c>
      <c r="H601" s="1360"/>
      <c r="I601" s="1360"/>
      <c r="J601" s="1360"/>
      <c r="K601" s="1360"/>
      <c r="L601" s="1360"/>
      <c r="M601" s="1360"/>
      <c r="N601" s="1360"/>
      <c r="O601" s="1360"/>
      <c r="P601" s="1360"/>
      <c r="Q601" s="1360"/>
      <c r="R601" s="1360"/>
      <c r="T601" s="55" t="s">
        <v>647</v>
      </c>
      <c r="U601" t="s">
        <v>464</v>
      </c>
      <c r="Z601" s="1360">
        <f>C563</f>
        <v>0</v>
      </c>
      <c r="AA601" s="1360"/>
      <c r="AB601" s="1360"/>
      <c r="AC601" s="1360"/>
      <c r="AD601" s="1360"/>
      <c r="AE601" s="1360"/>
      <c r="AF601" s="1360"/>
      <c r="AG601" s="1360"/>
      <c r="AH601" s="1360"/>
      <c r="AI601" s="1360"/>
      <c r="AJ601" s="1360"/>
      <c r="AK601" s="1360"/>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581</v>
      </c>
      <c r="G603" s="1373"/>
      <c r="H603" s="1373"/>
      <c r="I603" s="1373"/>
      <c r="J603" s="1373"/>
      <c r="K603" s="1373"/>
      <c r="L603" s="1373"/>
      <c r="M603" s="1373"/>
      <c r="N603" s="1373"/>
      <c r="O603" s="1373"/>
      <c r="P603" s="1373"/>
      <c r="Q603" s="1373"/>
      <c r="R603" s="1373"/>
      <c r="T603" s="22"/>
      <c r="U603" t="s">
        <v>581</v>
      </c>
      <c r="Z603" s="1350"/>
      <c r="AA603" s="1350"/>
      <c r="AB603" s="1350"/>
      <c r="AC603" s="1350"/>
      <c r="AD603" s="1350"/>
      <c r="AE603" s="1350"/>
      <c r="AF603" s="1350"/>
      <c r="AG603" s="1350"/>
      <c r="AH603" s="1350"/>
      <c r="AI603" s="1350"/>
      <c r="AJ603" s="1350"/>
      <c r="AK603" s="1350"/>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2.95" customHeight="1">
      <c r="A605" s="22"/>
      <c r="B605" t="s">
        <v>316</v>
      </c>
      <c r="C605"/>
      <c r="D605"/>
      <c r="E605"/>
      <c r="F605"/>
      <c r="G605" s="1348"/>
      <c r="H605" s="1348"/>
      <c r="I605" s="1348"/>
      <c r="J605" s="1348"/>
      <c r="K605" s="1348"/>
      <c r="L605" s="1348"/>
      <c r="M605"/>
      <c r="N605"/>
      <c r="O605" s="33" t="s">
        <v>206</v>
      </c>
      <c r="P605" s="1438"/>
      <c r="Q605" s="1438"/>
      <c r="R605" s="1438"/>
      <c r="S605"/>
      <c r="T605" s="22"/>
      <c r="U605" t="s">
        <v>316</v>
      </c>
      <c r="V605"/>
      <c r="W605"/>
      <c r="X605"/>
      <c r="Y605"/>
      <c r="Z605" s="1348"/>
      <c r="AA605" s="1348"/>
      <c r="AB605" s="1348"/>
      <c r="AC605" s="1348"/>
      <c r="AD605" s="1348"/>
      <c r="AE605" s="1348"/>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0">
        <f>C564</f>
        <v>0</v>
      </c>
      <c r="H609" s="1360"/>
      <c r="I609" s="1360"/>
      <c r="J609" s="1360"/>
      <c r="K609" s="1360"/>
      <c r="L609" s="1360"/>
      <c r="M609" s="1360"/>
      <c r="N609" s="1360"/>
      <c r="O609" s="1360"/>
      <c r="P609" s="1360"/>
      <c r="Q609" s="1360"/>
      <c r="R609" s="1360"/>
      <c r="T609" s="55" t="s">
        <v>363</v>
      </c>
      <c r="U609" t="s">
        <v>464</v>
      </c>
      <c r="Z609" s="1360">
        <f>C565</f>
        <v>0</v>
      </c>
      <c r="AA609" s="1360"/>
      <c r="AB609" s="1360"/>
      <c r="AC609" s="1360"/>
      <c r="AD609" s="1360"/>
      <c r="AE609" s="1360"/>
      <c r="AF609" s="1360"/>
      <c r="AG609" s="1360"/>
      <c r="AH609" s="1360"/>
      <c r="AI609" s="1360"/>
      <c r="AJ609" s="1360"/>
      <c r="AK609" s="1360"/>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581</v>
      </c>
      <c r="G611" s="1373"/>
      <c r="H611" s="1373"/>
      <c r="I611" s="1373"/>
      <c r="J611" s="1373"/>
      <c r="K611" s="1373"/>
      <c r="L611" s="1373"/>
      <c r="M611" s="1373"/>
      <c r="N611" s="1373"/>
      <c r="O611" s="1373"/>
      <c r="P611" s="1373"/>
      <c r="Q611" s="1373"/>
      <c r="R611" s="1373"/>
      <c r="U611" t="s">
        <v>581</v>
      </c>
      <c r="Z611" s="1350"/>
      <c r="AA611" s="1350"/>
      <c r="AB611" s="1350"/>
      <c r="AC611" s="1350"/>
      <c r="AD611" s="1350"/>
      <c r="AE611" s="1350"/>
      <c r="AF611" s="1350"/>
      <c r="AG611" s="1350"/>
      <c r="AH611" s="1350"/>
      <c r="AI611" s="1350"/>
      <c r="AJ611" s="1350"/>
      <c r="AK611" s="1350"/>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2.95" customHeight="1">
      <c r="B613" t="s">
        <v>316</v>
      </c>
      <c r="G613" s="1348"/>
      <c r="H613" s="1348"/>
      <c r="I613" s="1348"/>
      <c r="J613" s="1348"/>
      <c r="K613" s="1348"/>
      <c r="L613" s="1348"/>
      <c r="O613" s="33" t="s">
        <v>206</v>
      </c>
      <c r="P613" s="1438"/>
      <c r="Q613" s="1438"/>
      <c r="R613" s="1438"/>
      <c r="U613" t="s">
        <v>316</v>
      </c>
      <c r="Z613" s="1348"/>
      <c r="AA613" s="1348"/>
      <c r="AB613" s="1348"/>
      <c r="AC613" s="1348"/>
      <c r="AD613" s="1348"/>
      <c r="AE613" s="1348"/>
      <c r="AH613" s="33" t="s">
        <v>206</v>
      </c>
      <c r="AI613" s="1438"/>
      <c r="AJ613" s="1438"/>
      <c r="AK613" s="1438"/>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3" t="s">
        <v>670</v>
      </c>
      <c r="O615" s="1333"/>
      <c r="U615" t="s">
        <v>20</v>
      </c>
      <c r="AG615" s="1333" t="s">
        <v>670</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3" t="s">
        <v>2105</v>
      </c>
      <c r="N624" s="1443"/>
      <c r="O624" s="1443"/>
      <c r="P624" s="1443"/>
      <c r="Q624" s="1443" t="s">
        <v>1854</v>
      </c>
      <c r="R624" s="1443"/>
      <c r="S624" s="1443"/>
      <c r="T624" s="1443" t="s">
        <v>1852</v>
      </c>
      <c r="U624" s="1443"/>
      <c r="V624" s="1443"/>
      <c r="W624" s="1702" t="s">
        <v>454</v>
      </c>
      <c r="X624" s="1702"/>
      <c r="Y624" s="1702"/>
      <c r="Z624" s="1432" t="s">
        <v>2134</v>
      </c>
      <c r="AA624" s="1432"/>
      <c r="AB624" s="1433"/>
      <c r="AC624" s="1683" t="s">
        <v>1677</v>
      </c>
      <c r="AD624" s="1684"/>
      <c r="AE624" s="1685"/>
      <c r="AF624" s="1673" t="s">
        <v>1932</v>
      </c>
      <c r="AG624" s="1432"/>
      <c r="AH624" s="1432"/>
      <c r="AI624" s="1432"/>
      <c r="AJ624" s="1433"/>
      <c r="AK624" s="1734" t="s">
        <v>1933</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2709</v>
      </c>
      <c r="D627" s="1693"/>
      <c r="E627" s="1693"/>
      <c r="F627" s="1693"/>
      <c r="G627" s="1693"/>
      <c r="H627" s="1693"/>
      <c r="I627" s="1693"/>
      <c r="J627" s="1693"/>
      <c r="K627" s="1693"/>
      <c r="L627" s="1693"/>
      <c r="M627" s="1619" t="s">
        <v>2121</v>
      </c>
      <c r="N627" s="1619"/>
      <c r="O627" s="1619"/>
      <c r="P627" s="1619"/>
      <c r="Q627" s="1427">
        <f>15*12</f>
        <v>180</v>
      </c>
      <c r="R627" s="1427"/>
      <c r="S627" s="1428"/>
      <c r="T627" s="1426">
        <f>40*12</f>
        <v>480</v>
      </c>
      <c r="U627" s="1427"/>
      <c r="V627" s="1428"/>
      <c r="W627" s="1439">
        <v>0.06</v>
      </c>
      <c r="X627" s="1440"/>
      <c r="Y627" s="1441"/>
      <c r="Z627" s="1480" t="s">
        <v>2133</v>
      </c>
      <c r="AA627" s="1481"/>
      <c r="AB627" s="1482"/>
      <c r="AC627" s="1447">
        <v>1</v>
      </c>
      <c r="AD627" s="1448"/>
      <c r="AE627" s="1449"/>
      <c r="AF627" s="1477">
        <v>2305793</v>
      </c>
      <c r="AG627" s="1478"/>
      <c r="AH627" s="1478"/>
      <c r="AI627" s="1478"/>
      <c r="AJ627" s="1479"/>
      <c r="AK627" s="1429"/>
      <c r="AL627" s="1430"/>
      <c r="AM627" s="1430"/>
      <c r="AN627" s="1431"/>
      <c r="AO627" s="1483">
        <v>34693639</v>
      </c>
      <c r="AP627" s="1483"/>
      <c r="AQ627" s="1483"/>
      <c r="AR627" s="1483"/>
      <c r="AS627" s="1483"/>
      <c r="AT627" s="3"/>
      <c r="AU627" s="3"/>
      <c r="AZ627" s="3"/>
      <c r="BA627" s="3"/>
      <c r="BB627" s="3"/>
      <c r="BC627" s="3"/>
      <c r="BD627" s="3"/>
    </row>
    <row r="628" spans="2:157" ht="12.95" customHeight="1">
      <c r="B628" s="52" t="s">
        <v>113</v>
      </c>
      <c r="C628" s="1693" t="s">
        <v>2323</v>
      </c>
      <c r="D628" s="1693"/>
      <c r="E628" s="1693"/>
      <c r="F628" s="1693"/>
      <c r="G628" s="1693"/>
      <c r="H628" s="1693"/>
      <c r="I628" s="1693"/>
      <c r="J628" s="1693"/>
      <c r="K628" s="1693"/>
      <c r="L628" s="1693"/>
      <c r="M628" s="1619" t="s">
        <v>2108</v>
      </c>
      <c r="N628" s="1619"/>
      <c r="O628" s="1619"/>
      <c r="P628" s="1619"/>
      <c r="Q628" s="1426"/>
      <c r="R628" s="1427"/>
      <c r="S628" s="1428"/>
      <c r="T628" s="1426"/>
      <c r="U628" s="1427"/>
      <c r="V628" s="1428"/>
      <c r="W628" s="1439"/>
      <c r="X628" s="1440"/>
      <c r="Y628" s="1441"/>
      <c r="Z628" s="1480" t="s">
        <v>1185</v>
      </c>
      <c r="AA628" s="1481"/>
      <c r="AB628" s="1482"/>
      <c r="AC628" s="1447"/>
      <c r="AD628" s="1448"/>
      <c r="AE628" s="1449"/>
      <c r="AF628" s="1477"/>
      <c r="AG628" s="1478"/>
      <c r="AH628" s="1478"/>
      <c r="AI628" s="1478"/>
      <c r="AJ628" s="1479"/>
      <c r="AK628" s="1429"/>
      <c r="AL628" s="1430"/>
      <c r="AM628" s="1430"/>
      <c r="AN628" s="1431"/>
      <c r="AO628" s="1468">
        <f>AM557</f>
        <v>11830822</v>
      </c>
      <c r="AP628" s="1469"/>
      <c r="AQ628" s="1469"/>
      <c r="AR628" s="1469"/>
      <c r="AS628" s="1470"/>
      <c r="AT628" s="1148" t="str">
        <f>IF(AND(NOT(C627=""),C628="",NOT(C629="")),"!","")</f>
        <v/>
      </c>
      <c r="AU628" s="3"/>
      <c r="AZ628" s="3"/>
      <c r="BA628" s="3"/>
      <c r="BB628" s="3"/>
      <c r="BC628" s="3"/>
      <c r="BD628" s="3"/>
    </row>
    <row r="629" spans="2:157" ht="12.95" customHeight="1">
      <c r="B629" s="52" t="s">
        <v>119</v>
      </c>
      <c r="C629" s="1693"/>
      <c r="D629" s="1693"/>
      <c r="E629" s="1693"/>
      <c r="F629" s="1693"/>
      <c r="G629" s="1693"/>
      <c r="H629" s="1693"/>
      <c r="I629" s="1693"/>
      <c r="J629" s="1693"/>
      <c r="K629" s="1693"/>
      <c r="L629" s="1693"/>
      <c r="M629" s="1619" t="s">
        <v>1185</v>
      </c>
      <c r="N629" s="1619"/>
      <c r="O629" s="1619"/>
      <c r="P629" s="1619"/>
      <c r="Q629" s="1426"/>
      <c r="R629" s="1427"/>
      <c r="S629" s="1428"/>
      <c r="T629" s="1426"/>
      <c r="U629" s="1427"/>
      <c r="V629" s="1428"/>
      <c r="W629" s="1439"/>
      <c r="X629" s="1440"/>
      <c r="Y629" s="1441"/>
      <c r="Z629" s="1480" t="s">
        <v>1185</v>
      </c>
      <c r="AA629" s="1481"/>
      <c r="AB629" s="1482"/>
      <c r="AC629" s="1447"/>
      <c r="AD629" s="1448"/>
      <c r="AE629" s="1449"/>
      <c r="AF629" s="1477"/>
      <c r="AG629" s="1478"/>
      <c r="AH629" s="1478"/>
      <c r="AI629" s="1478"/>
      <c r="AJ629" s="1479"/>
      <c r="AK629" s="1429"/>
      <c r="AL629" s="1430"/>
      <c r="AM629" s="1430"/>
      <c r="AN629" s="1431"/>
      <c r="AO629" s="1468"/>
      <c r="AP629" s="1469"/>
      <c r="AQ629" s="1469"/>
      <c r="AR629" s="1469"/>
      <c r="AS629" s="1470"/>
      <c r="AT629" s="1148" t="str">
        <f t="shared" ref="AT629:AT638" si="1">IF(AND(NOT(C628=""),C629="",NOT(C630="")),"!","")</f>
        <v/>
      </c>
      <c r="AU629" s="3"/>
      <c r="AZ629" s="3"/>
      <c r="BA629" s="3"/>
      <c r="BB629" s="3"/>
      <c r="BC629" s="3"/>
      <c r="BD629" s="3"/>
    </row>
    <row r="630" spans="2:157" ht="12.95" customHeight="1">
      <c r="B630" s="52" t="s">
        <v>582</v>
      </c>
      <c r="C630" s="1349"/>
      <c r="D630" s="1349"/>
      <c r="E630" s="1349"/>
      <c r="F630" s="1349"/>
      <c r="G630" s="1349"/>
      <c r="H630" s="1349"/>
      <c r="I630" s="1349"/>
      <c r="J630" s="1349"/>
      <c r="K630" s="1349"/>
      <c r="L630" s="1349"/>
      <c r="M630" s="1619" t="s">
        <v>1185</v>
      </c>
      <c r="N630" s="1619"/>
      <c r="O630" s="1619"/>
      <c r="P630" s="1619"/>
      <c r="Q630" s="1426"/>
      <c r="R630" s="1427"/>
      <c r="S630" s="1428"/>
      <c r="T630" s="1426"/>
      <c r="U630" s="1427"/>
      <c r="V630" s="1428"/>
      <c r="W630" s="1439"/>
      <c r="X630" s="1440"/>
      <c r="Y630" s="1441"/>
      <c r="Z630" s="1480" t="s">
        <v>1185</v>
      </c>
      <c r="AA630" s="1481"/>
      <c r="AB630" s="1482"/>
      <c r="AC630" s="1447"/>
      <c r="AD630" s="1448"/>
      <c r="AE630" s="1449"/>
      <c r="AF630" s="1477"/>
      <c r="AG630" s="1478"/>
      <c r="AH630" s="1478"/>
      <c r="AI630" s="1478"/>
      <c r="AJ630" s="1479"/>
      <c r="AK630" s="1429"/>
      <c r="AL630" s="1430"/>
      <c r="AM630" s="1430"/>
      <c r="AN630" s="1431"/>
      <c r="AO630" s="1468"/>
      <c r="AP630" s="1469"/>
      <c r="AQ630" s="1469"/>
      <c r="AR630" s="1469"/>
      <c r="AS630" s="1470"/>
      <c r="AT630" s="1148" t="str">
        <f t="shared" si="1"/>
        <v/>
      </c>
      <c r="AU630" s="3"/>
      <c r="AZ630" s="3"/>
      <c r="BA630" s="3"/>
      <c r="BB630" s="3"/>
      <c r="BC630" s="3"/>
      <c r="BD630" s="3"/>
    </row>
    <row r="631" spans="2:157" ht="12.95" customHeight="1">
      <c r="B631" s="52" t="s">
        <v>764</v>
      </c>
      <c r="C631" s="1349"/>
      <c r="D631" s="1349"/>
      <c r="E631" s="1349"/>
      <c r="F631" s="1349"/>
      <c r="G631" s="1349"/>
      <c r="H631" s="1349"/>
      <c r="I631" s="1349"/>
      <c r="J631" s="1349"/>
      <c r="K631" s="1349"/>
      <c r="L631" s="1349"/>
      <c r="M631" s="1619" t="s">
        <v>1185</v>
      </c>
      <c r="N631" s="1619"/>
      <c r="O631" s="1619"/>
      <c r="P631" s="1619"/>
      <c r="Q631" s="1426"/>
      <c r="R631" s="1427"/>
      <c r="S631" s="1428"/>
      <c r="T631" s="1426"/>
      <c r="U631" s="1427"/>
      <c r="V631" s="1428"/>
      <c r="W631" s="1439"/>
      <c r="X631" s="1440"/>
      <c r="Y631" s="1441"/>
      <c r="Z631" s="1480" t="s">
        <v>1185</v>
      </c>
      <c r="AA631" s="1481"/>
      <c r="AB631" s="1482"/>
      <c r="AC631" s="1447"/>
      <c r="AD631" s="1448"/>
      <c r="AE631" s="1449"/>
      <c r="AF631" s="1477"/>
      <c r="AG631" s="1478"/>
      <c r="AH631" s="1478"/>
      <c r="AI631" s="1478"/>
      <c r="AJ631" s="1479"/>
      <c r="AK631" s="1429"/>
      <c r="AL631" s="1430"/>
      <c r="AM631" s="1430"/>
      <c r="AN631" s="1431"/>
      <c r="AO631" s="1468"/>
      <c r="AP631" s="1469"/>
      <c r="AQ631" s="1469"/>
      <c r="AR631" s="1469"/>
      <c r="AS631" s="1470"/>
      <c r="AT631" s="1148" t="str">
        <f t="shared" si="1"/>
        <v/>
      </c>
      <c r="AU631" s="3"/>
      <c r="AZ631" s="3"/>
      <c r="BA631" s="3"/>
      <c r="BB631" s="3"/>
      <c r="BC631" s="3"/>
      <c r="BD631" s="3"/>
    </row>
    <row r="632" spans="2:157" ht="12.95" customHeight="1">
      <c r="B632" s="52" t="s">
        <v>585</v>
      </c>
      <c r="C632" s="1349"/>
      <c r="D632" s="1349"/>
      <c r="E632" s="1349"/>
      <c r="F632" s="1349"/>
      <c r="G632" s="1349"/>
      <c r="H632" s="1349"/>
      <c r="I632" s="1349"/>
      <c r="J632" s="1349"/>
      <c r="K632" s="1349"/>
      <c r="L632" s="1349"/>
      <c r="M632" s="1619" t="s">
        <v>1185</v>
      </c>
      <c r="N632" s="1619"/>
      <c r="O632" s="1619"/>
      <c r="P632" s="1619"/>
      <c r="Q632" s="1426"/>
      <c r="R632" s="1427"/>
      <c r="S632" s="1428"/>
      <c r="T632" s="1426"/>
      <c r="U632" s="1427"/>
      <c r="V632" s="1428"/>
      <c r="W632" s="1439"/>
      <c r="X632" s="1440"/>
      <c r="Y632" s="1441"/>
      <c r="Z632" s="1480" t="s">
        <v>1185</v>
      </c>
      <c r="AA632" s="1481"/>
      <c r="AB632" s="1482"/>
      <c r="AC632" s="1447"/>
      <c r="AD632" s="1448"/>
      <c r="AE632" s="1449"/>
      <c r="AF632" s="1477"/>
      <c r="AG632" s="1478"/>
      <c r="AH632" s="1478"/>
      <c r="AI632" s="1478"/>
      <c r="AJ632" s="1479"/>
      <c r="AK632" s="1429"/>
      <c r="AL632" s="1430"/>
      <c r="AM632" s="1430"/>
      <c r="AN632" s="1431"/>
      <c r="AO632" s="1468"/>
      <c r="AP632" s="1469"/>
      <c r="AQ632" s="1469"/>
      <c r="AR632" s="1469"/>
      <c r="AS632" s="1470"/>
      <c r="AT632" s="1148" t="str">
        <f t="shared" si="1"/>
        <v/>
      </c>
      <c r="AU632" s="3"/>
      <c r="AZ632" s="3"/>
      <c r="BA632" s="3"/>
      <c r="BB632" s="3"/>
      <c r="BC632" s="3"/>
      <c r="BD632" s="3"/>
    </row>
    <row r="633" spans="2:157" ht="12.95" customHeight="1">
      <c r="B633" s="52" t="s">
        <v>456</v>
      </c>
      <c r="C633" s="1349"/>
      <c r="D633" s="1349"/>
      <c r="E633" s="1349"/>
      <c r="F633" s="1349"/>
      <c r="G633" s="1349"/>
      <c r="H633" s="1349"/>
      <c r="I633" s="1349"/>
      <c r="J633" s="1349"/>
      <c r="K633" s="1349"/>
      <c r="L633" s="1349"/>
      <c r="M633" s="1619" t="s">
        <v>1185</v>
      </c>
      <c r="N633" s="1619"/>
      <c r="O633" s="1619"/>
      <c r="P633" s="1619"/>
      <c r="Q633" s="1426"/>
      <c r="R633" s="1427"/>
      <c r="S633" s="1428"/>
      <c r="T633" s="1426"/>
      <c r="U633" s="1427"/>
      <c r="V633" s="1428"/>
      <c r="W633" s="1439"/>
      <c r="X633" s="1440"/>
      <c r="Y633" s="1441"/>
      <c r="Z633" s="1480" t="s">
        <v>1185</v>
      </c>
      <c r="AA633" s="1481"/>
      <c r="AB633" s="1482"/>
      <c r="AC633" s="1447"/>
      <c r="AD633" s="1448"/>
      <c r="AE633" s="1449"/>
      <c r="AF633" s="1477"/>
      <c r="AG633" s="1478"/>
      <c r="AH633" s="1478"/>
      <c r="AI633" s="1478"/>
      <c r="AJ633" s="1479"/>
      <c r="AK633" s="1429"/>
      <c r="AL633" s="1430"/>
      <c r="AM633" s="1430"/>
      <c r="AN633" s="1431"/>
      <c r="AO633" s="1468"/>
      <c r="AP633" s="1469"/>
      <c r="AQ633" s="1469"/>
      <c r="AR633" s="1469"/>
      <c r="AS633" s="1470"/>
      <c r="AT633" s="1148" t="str">
        <f t="shared" si="1"/>
        <v/>
      </c>
      <c r="AU633" s="3"/>
      <c r="AV633" s="3"/>
      <c r="AW633" s="3"/>
      <c r="AX633" s="3"/>
      <c r="AY633" s="3"/>
      <c r="AZ633" s="3"/>
      <c r="BA633" s="3"/>
      <c r="BB633" s="3"/>
      <c r="BC633" s="3"/>
      <c r="BD633" s="3"/>
    </row>
    <row r="634" spans="2:157" ht="12.95" customHeight="1">
      <c r="B634" s="52" t="s">
        <v>457</v>
      </c>
      <c r="C634" s="1349"/>
      <c r="D634" s="1349"/>
      <c r="E634" s="1349"/>
      <c r="F634" s="1349"/>
      <c r="G634" s="1349"/>
      <c r="H634" s="1349"/>
      <c r="I634" s="1349"/>
      <c r="J634" s="1349"/>
      <c r="K634" s="1349"/>
      <c r="L634" s="1349"/>
      <c r="M634" s="1619" t="s">
        <v>1185</v>
      </c>
      <c r="N634" s="1619"/>
      <c r="O634" s="1619"/>
      <c r="P634" s="1619"/>
      <c r="Q634" s="1426"/>
      <c r="R634" s="1427"/>
      <c r="S634" s="1428"/>
      <c r="T634" s="1426"/>
      <c r="U634" s="1427"/>
      <c r="V634" s="1428"/>
      <c r="W634" s="1439"/>
      <c r="X634" s="1440"/>
      <c r="Y634" s="1441"/>
      <c r="Z634" s="1480" t="s">
        <v>1185</v>
      </c>
      <c r="AA634" s="1481"/>
      <c r="AB634" s="1482"/>
      <c r="AC634" s="1447"/>
      <c r="AD634" s="1448"/>
      <c r="AE634" s="1449"/>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1185</v>
      </c>
      <c r="BB634" s="3"/>
      <c r="BC634" s="3"/>
      <c r="BD634" s="3"/>
    </row>
    <row r="635" spans="2:157" ht="12.95" customHeight="1">
      <c r="B635" s="52" t="s">
        <v>462</v>
      </c>
      <c r="C635" s="1349"/>
      <c r="D635" s="1349"/>
      <c r="E635" s="1349"/>
      <c r="F635" s="1349"/>
      <c r="G635" s="1349"/>
      <c r="H635" s="1349"/>
      <c r="I635" s="1349"/>
      <c r="J635" s="1349"/>
      <c r="K635" s="1349"/>
      <c r="L635" s="1349"/>
      <c r="M635" s="1619" t="s">
        <v>1185</v>
      </c>
      <c r="N635" s="1619"/>
      <c r="O635" s="1619"/>
      <c r="P635" s="1619"/>
      <c r="Q635" s="1426"/>
      <c r="R635" s="1427"/>
      <c r="S635" s="1428"/>
      <c r="T635" s="1426"/>
      <c r="U635" s="1427"/>
      <c r="V635" s="1428"/>
      <c r="W635" s="1439"/>
      <c r="X635" s="1440"/>
      <c r="Y635" s="1441"/>
      <c r="Z635" s="1480" t="s">
        <v>1185</v>
      </c>
      <c r="AA635" s="1481"/>
      <c r="AB635" s="1482"/>
      <c r="AC635" s="1447"/>
      <c r="AD635" s="1448"/>
      <c r="AE635" s="1449"/>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530.32258064516122</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9"/>
      <c r="D636" s="1349"/>
      <c r="E636" s="1349"/>
      <c r="F636" s="1349"/>
      <c r="G636" s="1349"/>
      <c r="H636" s="1349"/>
      <c r="I636" s="1349"/>
      <c r="J636" s="1349"/>
      <c r="K636" s="1349"/>
      <c r="L636" s="1349"/>
      <c r="M636" s="1619" t="s">
        <v>1185</v>
      </c>
      <c r="N636" s="1619"/>
      <c r="O636" s="1619"/>
      <c r="P636" s="1619"/>
      <c r="Q636" s="1426"/>
      <c r="R636" s="1427"/>
      <c r="S636" s="1428"/>
      <c r="T636" s="1426"/>
      <c r="U636" s="1427"/>
      <c r="V636" s="1428"/>
      <c r="W636" s="1439"/>
      <c r="X636" s="1440"/>
      <c r="Y636" s="1441"/>
      <c r="Z636" s="1480" t="s">
        <v>1185</v>
      </c>
      <c r="AA636" s="1481"/>
      <c r="AB636" s="1482"/>
      <c r="AC636" s="1447"/>
      <c r="AD636" s="1448"/>
      <c r="AE636" s="1449"/>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594</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9"/>
      <c r="D637" s="1349"/>
      <c r="E637" s="1349"/>
      <c r="F637" s="1349"/>
      <c r="G637" s="1349"/>
      <c r="H637" s="1349"/>
      <c r="I637" s="1349"/>
      <c r="J637" s="1349"/>
      <c r="K637" s="1349"/>
      <c r="L637" s="1349"/>
      <c r="M637" s="1619" t="s">
        <v>1185</v>
      </c>
      <c r="N637" s="1619"/>
      <c r="O637" s="1619"/>
      <c r="P637" s="1619"/>
      <c r="Q637" s="1426"/>
      <c r="R637" s="1427"/>
      <c r="S637" s="1428"/>
      <c r="T637" s="1426"/>
      <c r="U637" s="1427"/>
      <c r="V637" s="1428"/>
      <c r="W637" s="1439"/>
      <c r="X637" s="1440"/>
      <c r="Y637" s="1441"/>
      <c r="Z637" s="1480" t="s">
        <v>1185</v>
      </c>
      <c r="AA637" s="1481"/>
      <c r="AB637" s="1482"/>
      <c r="AC637" s="1447"/>
      <c r="AD637" s="1448"/>
      <c r="AE637" s="1449"/>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f t="shared" si="4"/>
        <v>122.875</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9"/>
      <c r="D638" s="1349"/>
      <c r="E638" s="1349"/>
      <c r="F638" s="1349"/>
      <c r="G638" s="1349"/>
      <c r="H638" s="1349"/>
      <c r="I638" s="1349"/>
      <c r="J638" s="1349"/>
      <c r="K638" s="1349"/>
      <c r="L638" s="1349"/>
      <c r="M638" s="1619" t="s">
        <v>1185</v>
      </c>
      <c r="N638" s="1619"/>
      <c r="O638" s="1619"/>
      <c r="P638" s="1619"/>
      <c r="Q638" s="1426"/>
      <c r="R638" s="1427"/>
      <c r="S638" s="1428"/>
      <c r="T638" s="1426"/>
      <c r="U638" s="1427"/>
      <c r="V638" s="1428"/>
      <c r="W638" s="1439"/>
      <c r="X638" s="1440"/>
      <c r="Y638" s="1441"/>
      <c r="Z638" s="1480" t="s">
        <v>1185</v>
      </c>
      <c r="AA638" s="1481"/>
      <c r="AB638" s="1482"/>
      <c r="AC638" s="1447"/>
      <c r="AD638" s="1448"/>
      <c r="AE638" s="1449"/>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208.125</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46524461</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877.1875</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51424539</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733.125</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6">
        <f>AO639+AO640</f>
        <v>97949000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120.31914893617021</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204.25531914893617</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60" t="str">
        <f>C627</f>
        <v>Citi Tax Exempt Permanent Loan</v>
      </c>
      <c r="H643" s="1360"/>
      <c r="I643" s="1360"/>
      <c r="J643" s="1360"/>
      <c r="K643" s="1360"/>
      <c r="L643" s="1360"/>
      <c r="M643" s="1360"/>
      <c r="N643" s="1360"/>
      <c r="O643" s="1360"/>
      <c r="P643" s="1360"/>
      <c r="Q643" s="1360"/>
      <c r="R643" s="1360"/>
      <c r="S643" s="8"/>
      <c r="T643" s="55" t="s">
        <v>113</v>
      </c>
      <c r="U643" t="s">
        <v>464</v>
      </c>
      <c r="Z643" s="1360" t="str">
        <f>C628</f>
        <v>Deferred Developer Fee</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2131.8297872340427</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3" t="s">
        <v>2695</v>
      </c>
      <c r="H644" s="1373"/>
      <c r="I644" s="1373"/>
      <c r="J644" s="1373"/>
      <c r="K644" s="1373"/>
      <c r="L644" s="1373"/>
      <c r="M644" s="1373"/>
      <c r="N644" s="1373"/>
      <c r="O644" s="1373"/>
      <c r="P644" s="1373"/>
      <c r="Q644" s="1373"/>
      <c r="R644" s="1373"/>
      <c r="S644" s="8"/>
      <c r="T644" s="22"/>
      <c r="U644" t="s">
        <v>85</v>
      </c>
      <c r="Z644" s="1418" t="s">
        <v>2728</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3" t="s">
        <v>2696</v>
      </c>
      <c r="H645" s="1373"/>
      <c r="I645" s="1373"/>
      <c r="J645" s="1373"/>
      <c r="K645" s="1373"/>
      <c r="L645" s="1373"/>
      <c r="M645" s="1373"/>
      <c r="N645" s="1373"/>
      <c r="O645" s="1373"/>
      <c r="P645" s="1373"/>
      <c r="Q645" s="1373"/>
      <c r="R645" s="1373"/>
      <c r="T645" s="22"/>
      <c r="U645" t="s">
        <v>581</v>
      </c>
      <c r="Z645" s="1459" t="s">
        <v>2640</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418" t="s">
        <v>2697</v>
      </c>
      <c r="H646" s="1373"/>
      <c r="I646" s="1373"/>
      <c r="J646" s="1373"/>
      <c r="K646" s="1373"/>
      <c r="L646" s="1373"/>
      <c r="M646" s="1373"/>
      <c r="N646" s="1373"/>
      <c r="O646" s="1373"/>
      <c r="P646" s="1373"/>
      <c r="Q646" s="1373"/>
      <c r="R646" s="1373"/>
      <c r="S646" s="8"/>
      <c r="T646" s="22"/>
      <c r="U646" t="s">
        <v>17</v>
      </c>
      <c r="Z646" s="1459" t="s">
        <v>2715</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7" t="s">
        <v>2737</v>
      </c>
      <c r="H647" s="1348"/>
      <c r="I647" s="1348"/>
      <c r="J647" s="1348"/>
      <c r="K647" s="1348"/>
      <c r="L647" s="1348"/>
      <c r="O647" s="33" t="s">
        <v>206</v>
      </c>
      <c r="P647" s="1438"/>
      <c r="Q647" s="1438"/>
      <c r="R647" s="1438"/>
      <c r="S647" s="10"/>
      <c r="T647" s="22"/>
      <c r="U647" t="s">
        <v>316</v>
      </c>
      <c r="Z647" s="1347" t="s">
        <v>2718</v>
      </c>
      <c r="AA647" s="1348"/>
      <c r="AB647" s="1348"/>
      <c r="AC647" s="1348"/>
      <c r="AD647" s="1348"/>
      <c r="AE647" s="1348"/>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418" t="s">
        <v>2716</v>
      </c>
      <c r="I648" s="1373"/>
      <c r="J648" s="1373"/>
      <c r="K648" s="1373"/>
      <c r="L648" s="1373"/>
      <c r="M648" s="1373"/>
      <c r="N648" s="1373"/>
      <c r="O648" s="1373"/>
      <c r="P648" s="1373"/>
      <c r="Q648" s="1373"/>
      <c r="R648" s="1373"/>
      <c r="S648" s="8"/>
      <c r="T648" s="22"/>
      <c r="U648" t="s">
        <v>18</v>
      </c>
      <c r="AA648" s="1418" t="s">
        <v>2694</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60">
        <f>C629</f>
        <v>0</v>
      </c>
      <c r="H651" s="1360"/>
      <c r="I651" s="1360"/>
      <c r="J651" s="1360"/>
      <c r="K651" s="1360"/>
      <c r="L651" s="1360"/>
      <c r="M651" s="1360"/>
      <c r="N651" s="1360"/>
      <c r="O651" s="1360"/>
      <c r="P651" s="1360"/>
      <c r="Q651" s="1360"/>
      <c r="R651" s="1360"/>
      <c r="T651" s="55" t="s">
        <v>582</v>
      </c>
      <c r="U651" t="s">
        <v>464</v>
      </c>
      <c r="Z651" s="1360">
        <f>C630</f>
        <v>0</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3"/>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50"/>
      <c r="H653" s="1350"/>
      <c r="I653" s="1350"/>
      <c r="J653" s="1350"/>
      <c r="K653" s="1350"/>
      <c r="L653" s="1350"/>
      <c r="M653" s="1350"/>
      <c r="N653" s="1350"/>
      <c r="O653" s="1350"/>
      <c r="P653" s="1350"/>
      <c r="Q653" s="1350"/>
      <c r="R653" s="1350"/>
      <c r="T653" s="22"/>
      <c r="U653" t="s">
        <v>581</v>
      </c>
      <c r="Z653" s="1350"/>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50"/>
      <c r="H654" s="1350"/>
      <c r="I654" s="1350"/>
      <c r="J654" s="1350"/>
      <c r="K654" s="1350"/>
      <c r="L654" s="1350"/>
      <c r="M654" s="1350"/>
      <c r="N654" s="1350"/>
      <c r="O654" s="1350"/>
      <c r="P654" s="1350"/>
      <c r="Q654" s="1350"/>
      <c r="R654" s="1350"/>
      <c r="T654" s="22"/>
      <c r="U654" t="s">
        <v>17</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8"/>
      <c r="H655" s="1348"/>
      <c r="I655" s="1348"/>
      <c r="J655" s="1348"/>
      <c r="K655" s="1348"/>
      <c r="L655" s="1348"/>
      <c r="O655" s="33" t="s">
        <v>206</v>
      </c>
      <c r="P655" s="1438"/>
      <c r="Q655" s="1438"/>
      <c r="R655" s="1438"/>
      <c r="T655" s="22"/>
      <c r="U655" t="s">
        <v>316</v>
      </c>
      <c r="Z655" s="1348"/>
      <c r="AA655" s="1348"/>
      <c r="AB655" s="1348"/>
      <c r="AC655" s="1348"/>
      <c r="AD655" s="1348"/>
      <c r="AE655" s="1348"/>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3"/>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3" t="s">
        <v>670</v>
      </c>
      <c r="O657" s="1333"/>
      <c r="T657" s="22"/>
      <c r="U657" t="s">
        <v>20</v>
      </c>
      <c r="AG657" s="1333" t="s">
        <v>670</v>
      </c>
      <c r="AH657" s="1333"/>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60">
        <f>C631</f>
        <v>0</v>
      </c>
      <c r="H659" s="1360"/>
      <c r="I659" s="1360"/>
      <c r="J659" s="1360"/>
      <c r="K659" s="1360"/>
      <c r="L659" s="1360"/>
      <c r="M659" s="1360"/>
      <c r="N659" s="1360"/>
      <c r="O659" s="1360"/>
      <c r="P659" s="1360"/>
      <c r="Q659" s="1360"/>
      <c r="R659" s="1360"/>
      <c r="T659" s="55" t="s">
        <v>585</v>
      </c>
      <c r="U659" t="s">
        <v>464</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3"/>
      <c r="H661" s="1373"/>
      <c r="I661" s="1373"/>
      <c r="J661" s="1373"/>
      <c r="K661" s="1373"/>
      <c r="L661" s="1373"/>
      <c r="M661" s="1373"/>
      <c r="N661" s="1373"/>
      <c r="O661" s="1373"/>
      <c r="P661" s="1373"/>
      <c r="Q661" s="1373"/>
      <c r="R661" s="1373"/>
      <c r="T661" s="22"/>
      <c r="U661" t="s">
        <v>581</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3"/>
      <c r="H662" s="1373"/>
      <c r="I662" s="1373"/>
      <c r="J662" s="1373"/>
      <c r="K662" s="1373"/>
      <c r="L662" s="1373"/>
      <c r="M662" s="1373"/>
      <c r="N662" s="1373"/>
      <c r="O662" s="1373"/>
      <c r="P662" s="1373"/>
      <c r="Q662" s="1373"/>
      <c r="R662" s="1373"/>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8"/>
      <c r="H663" s="1348"/>
      <c r="I663" s="1348"/>
      <c r="J663" s="1348"/>
      <c r="K663" s="1348"/>
      <c r="L663" s="1348"/>
      <c r="O663" s="33" t="s">
        <v>206</v>
      </c>
      <c r="P663" s="1438"/>
      <c r="Q663" s="1438"/>
      <c r="R663" s="1438"/>
      <c r="T663" s="22"/>
      <c r="U663" t="s">
        <v>316</v>
      </c>
      <c r="Z663" s="1348"/>
      <c r="AA663" s="1348"/>
      <c r="AB663" s="1348"/>
      <c r="AC663" s="1348"/>
      <c r="AD663" s="1348"/>
      <c r="AE663" s="1348"/>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3" t="s">
        <v>670</v>
      </c>
      <c r="O665" s="1333"/>
      <c r="T665" s="22"/>
      <c r="U665" t="s">
        <v>20</v>
      </c>
      <c r="AG665" s="1333" t="s">
        <v>670</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60">
        <f>C633</f>
        <v>0</v>
      </c>
      <c r="H667" s="1360"/>
      <c r="I667" s="1360"/>
      <c r="J667" s="1360"/>
      <c r="K667" s="1360"/>
      <c r="L667" s="1360"/>
      <c r="M667" s="1360"/>
      <c r="N667" s="1360"/>
      <c r="O667" s="1360"/>
      <c r="P667" s="1360"/>
      <c r="Q667" s="1360"/>
      <c r="R667" s="1360"/>
      <c r="T667" s="55" t="s">
        <v>457</v>
      </c>
      <c r="U667" t="s">
        <v>464</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3"/>
      <c r="H669" s="1373"/>
      <c r="I669" s="1373"/>
      <c r="J669" s="1373"/>
      <c r="K669" s="1373"/>
      <c r="L669" s="1373"/>
      <c r="M669" s="1373"/>
      <c r="N669" s="1373"/>
      <c r="O669" s="1373"/>
      <c r="P669" s="1373"/>
      <c r="Q669" s="1373"/>
      <c r="R669" s="1373"/>
      <c r="T669" s="22"/>
      <c r="U669" t="s">
        <v>581</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1124.3225806451612</v>
      </c>
      <c r="ED670" s="1446"/>
      <c r="EE670" s="1446"/>
      <c r="EF670" s="1446"/>
      <c r="EG670" s="1446"/>
      <c r="EH670" s="1446">
        <f>SUMIF(EH635:EL669,"&gt;0")</f>
        <v>1941.3125</v>
      </c>
      <c r="EI670" s="1446"/>
      <c r="EJ670" s="1446"/>
      <c r="EK670" s="1446"/>
      <c r="EL670" s="1446"/>
      <c r="EM670" s="1446">
        <f>SUMIF(EM635:EQ669,"&gt;0")</f>
        <v>2456.4042553191489</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8"/>
      <c r="H671" s="1348"/>
      <c r="I671" s="1348"/>
      <c r="J671" s="1348"/>
      <c r="K671" s="1348"/>
      <c r="L671" s="1348"/>
      <c r="O671" s="33" t="s">
        <v>206</v>
      </c>
      <c r="P671" s="1438"/>
      <c r="Q671" s="1438"/>
      <c r="R671" s="1438"/>
      <c r="T671" s="22"/>
      <c r="U671" t="s">
        <v>316</v>
      </c>
      <c r="Z671" s="1348"/>
      <c r="AA671" s="1348"/>
      <c r="AB671" s="1348"/>
      <c r="AC671" s="1348"/>
      <c r="AD671" s="1348"/>
      <c r="AE671" s="1348"/>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670</v>
      </c>
      <c r="O673" s="1333"/>
      <c r="T673" s="22"/>
      <c r="U673" t="s">
        <v>20</v>
      </c>
      <c r="AG673" s="1333" t="s">
        <v>670</v>
      </c>
      <c r="AH673" s="1333"/>
      <c r="AZ673" s="3"/>
    </row>
    <row r="674" spans="1:52" ht="12.95" customHeight="1">
      <c r="A674" s="22"/>
      <c r="T674" s="22"/>
      <c r="AZ674" s="3"/>
    </row>
    <row r="675" spans="1:52" ht="12.95" customHeight="1">
      <c r="A675" s="55" t="s">
        <v>462</v>
      </c>
      <c r="B675" t="s">
        <v>464</v>
      </c>
      <c r="G675" s="1360">
        <f>C635</f>
        <v>0</v>
      </c>
      <c r="H675" s="1360"/>
      <c r="I675" s="1360"/>
      <c r="J675" s="1360"/>
      <c r="K675" s="1360"/>
      <c r="L675" s="1360"/>
      <c r="M675" s="1360"/>
      <c r="N675" s="1360"/>
      <c r="O675" s="1360"/>
      <c r="P675" s="1360"/>
      <c r="Q675" s="1360"/>
      <c r="R675" s="1360"/>
      <c r="T675" s="55" t="s">
        <v>647</v>
      </c>
      <c r="U675" t="s">
        <v>464</v>
      </c>
      <c r="Z675" s="1360">
        <f>C636</f>
        <v>0</v>
      </c>
      <c r="AA675" s="1360"/>
      <c r="AB675" s="1360"/>
      <c r="AC675" s="1360"/>
      <c r="AD675" s="1360"/>
      <c r="AE675" s="1360"/>
      <c r="AF675" s="1360"/>
      <c r="AG675" s="1360"/>
      <c r="AH675" s="1360"/>
      <c r="AI675" s="1360"/>
      <c r="AJ675" s="1360"/>
      <c r="AK675" s="1360"/>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581</v>
      </c>
      <c r="G677" s="1373"/>
      <c r="H677" s="1373"/>
      <c r="I677" s="1373"/>
      <c r="J677" s="1373"/>
      <c r="K677" s="1373"/>
      <c r="L677" s="1373"/>
      <c r="M677" s="1373"/>
      <c r="N677" s="1373"/>
      <c r="O677" s="1373"/>
      <c r="P677" s="1373"/>
      <c r="Q677" s="1373"/>
      <c r="R677" s="1373"/>
      <c r="T677" s="22"/>
      <c r="U677" t="s">
        <v>581</v>
      </c>
      <c r="Z677" s="1350"/>
      <c r="AA677" s="1350"/>
      <c r="AB677" s="1350"/>
      <c r="AC677" s="1350"/>
      <c r="AD677" s="1350"/>
      <c r="AE677" s="1350"/>
      <c r="AF677" s="1350"/>
      <c r="AG677" s="1350"/>
      <c r="AH677" s="1350"/>
      <c r="AI677" s="1350"/>
      <c r="AJ677" s="1350"/>
      <c r="AK677" s="1350"/>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2.95" customHeight="1">
      <c r="A679" s="22"/>
      <c r="B679" t="s">
        <v>316</v>
      </c>
      <c r="G679" s="1348"/>
      <c r="H679" s="1348"/>
      <c r="I679" s="1348"/>
      <c r="J679" s="1348"/>
      <c r="K679" s="1348"/>
      <c r="L679" s="1348"/>
      <c r="O679" s="33" t="s">
        <v>206</v>
      </c>
      <c r="P679" s="1438"/>
      <c r="Q679" s="1438"/>
      <c r="R679" s="1438"/>
      <c r="T679" s="22"/>
      <c r="U679" t="s">
        <v>316</v>
      </c>
      <c r="Z679" s="1348"/>
      <c r="AA679" s="1348"/>
      <c r="AB679" s="1348"/>
      <c r="AC679" s="1348"/>
      <c r="AD679" s="1348"/>
      <c r="AE679" s="1348"/>
      <c r="AH679" s="33" t="s">
        <v>206</v>
      </c>
      <c r="AI679" s="1438"/>
      <c r="AJ679" s="1438"/>
      <c r="AK679" s="1438"/>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3" t="s">
        <v>670</v>
      </c>
      <c r="O681" s="1333"/>
      <c r="T681" s="22"/>
      <c r="U681" t="s">
        <v>20</v>
      </c>
      <c r="AG681" s="1333" t="s">
        <v>670</v>
      </c>
      <c r="AH681" s="1333"/>
      <c r="AZ681" s="3"/>
    </row>
    <row r="682" spans="1:52" ht="12.95" customHeight="1">
      <c r="A682" s="22"/>
      <c r="T682" s="22"/>
      <c r="AZ682" s="3"/>
    </row>
    <row r="683" spans="1:52" ht="12.95" customHeight="1">
      <c r="A683" s="55" t="s">
        <v>362</v>
      </c>
      <c r="B683" t="s">
        <v>464</v>
      </c>
      <c r="G683" s="1360">
        <f>C637</f>
        <v>0</v>
      </c>
      <c r="H683" s="1360"/>
      <c r="I683" s="1360"/>
      <c r="J683" s="1360"/>
      <c r="K683" s="1360"/>
      <c r="L683" s="1360"/>
      <c r="M683" s="1360"/>
      <c r="N683" s="1360"/>
      <c r="O683" s="1360"/>
      <c r="P683" s="1360"/>
      <c r="Q683" s="1360"/>
      <c r="R683" s="1360"/>
      <c r="T683" s="55" t="s">
        <v>363</v>
      </c>
      <c r="U683" t="s">
        <v>464</v>
      </c>
      <c r="Z683" s="1360">
        <f>C638</f>
        <v>0</v>
      </c>
      <c r="AA683" s="1360"/>
      <c r="AB683" s="1360"/>
      <c r="AC683" s="1360"/>
      <c r="AD683" s="1360"/>
      <c r="AE683" s="1360"/>
      <c r="AF683" s="1360"/>
      <c r="AG683" s="1360"/>
      <c r="AH683" s="1360"/>
      <c r="AI683" s="1360"/>
      <c r="AJ683" s="1360"/>
      <c r="AK683" s="1360"/>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581</v>
      </c>
      <c r="G685" s="1373"/>
      <c r="H685" s="1373"/>
      <c r="I685" s="1373"/>
      <c r="J685" s="1373"/>
      <c r="K685" s="1373"/>
      <c r="L685" s="1373"/>
      <c r="M685" s="1373"/>
      <c r="N685" s="1373"/>
      <c r="O685" s="1373"/>
      <c r="P685" s="1373"/>
      <c r="Q685" s="1373"/>
      <c r="R685" s="1373"/>
      <c r="U685" t="s">
        <v>581</v>
      </c>
      <c r="Z685" s="1350"/>
      <c r="AA685" s="1350"/>
      <c r="AB685" s="1350"/>
      <c r="AC685" s="1350"/>
      <c r="AD685" s="1350"/>
      <c r="AE685" s="1350"/>
      <c r="AF685" s="1350"/>
      <c r="AG685" s="1350"/>
      <c r="AH685" s="1350"/>
      <c r="AI685" s="1350"/>
      <c r="AJ685" s="1350"/>
      <c r="AK685" s="1350"/>
      <c r="AZ685" s="3"/>
    </row>
    <row r="686" spans="1:52" ht="12.95"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2.95" customHeight="1">
      <c r="B687" t="s">
        <v>316</v>
      </c>
      <c r="G687" s="1348"/>
      <c r="H687" s="1348"/>
      <c r="I687" s="1348"/>
      <c r="J687" s="1348"/>
      <c r="K687" s="1348"/>
      <c r="L687" s="1348"/>
      <c r="O687" s="33" t="s">
        <v>206</v>
      </c>
      <c r="P687" s="1438"/>
      <c r="Q687" s="1438"/>
      <c r="R687" s="1438"/>
      <c r="U687" t="s">
        <v>316</v>
      </c>
      <c r="Z687" s="1348"/>
      <c r="AA687" s="1348"/>
      <c r="AB687" s="1348"/>
      <c r="AC687" s="1348"/>
      <c r="AD687" s="1348"/>
      <c r="AE687" s="1348"/>
      <c r="AH687" s="33" t="s">
        <v>206</v>
      </c>
      <c r="AI687" s="1438"/>
      <c r="AJ687" s="1438"/>
      <c r="AK687" s="1438"/>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3" t="s">
        <v>670</v>
      </c>
      <c r="O689" s="1333"/>
      <c r="U689" t="s">
        <v>20</v>
      </c>
      <c r="AG689" s="1333" t="s">
        <v>670</v>
      </c>
      <c r="AH689" s="1333"/>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3" t="s">
        <v>546</v>
      </c>
      <c r="AF693" s="1333"/>
      <c r="AZ693" s="3"/>
    </row>
    <row r="694" spans="1:67" ht="12.95" customHeight="1">
      <c r="B694" s="135"/>
      <c r="C694" s="135"/>
      <c r="D694" s="136" t="s">
        <v>438</v>
      </c>
      <c r="E694" s="135"/>
      <c r="F694" s="135"/>
      <c r="G694" s="135"/>
      <c r="H694" s="135"/>
      <c r="AE694" s="1333" t="s">
        <v>670</v>
      </c>
      <c r="AF694" s="1333"/>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46054</v>
      </c>
      <c r="AF698" s="1692"/>
      <c r="AG698" s="1692"/>
      <c r="AH698" s="1692"/>
      <c r="AI698" s="1692"/>
    </row>
    <row r="699" spans="1:67" ht="12.95" customHeight="1">
      <c r="B699" s="135"/>
      <c r="C699" s="135"/>
      <c r="D699" s="136" t="s">
        <v>436</v>
      </c>
      <c r="E699" s="135"/>
      <c r="F699" s="135"/>
      <c r="G699" s="135"/>
      <c r="H699" s="135"/>
      <c r="AE699" s="1662">
        <v>0.54779999999999995</v>
      </c>
      <c r="AF699" s="1662"/>
      <c r="AG699" s="1662"/>
      <c r="AH699" s="1662"/>
      <c r="AI699" s="1662"/>
    </row>
    <row r="700" spans="1:67" ht="12.95" customHeight="1">
      <c r="B700" s="135"/>
      <c r="C700" s="135"/>
      <c r="D700" s="136" t="s">
        <v>437</v>
      </c>
      <c r="E700" s="135"/>
      <c r="F700" s="135"/>
      <c r="G700" s="135"/>
      <c r="H700" s="135"/>
      <c r="W700" s="1360" t="str">
        <f>H335</f>
        <v>Califonia Municipal Finance Authority</v>
      </c>
      <c r="X700" s="1360"/>
      <c r="Y700" s="1360"/>
      <c r="Z700" s="1360"/>
      <c r="AA700" s="1360"/>
      <c r="AB700" s="1360"/>
      <c r="AC700" s="1360"/>
      <c r="AD700" s="1360"/>
      <c r="AE700" s="1360"/>
      <c r="AF700" s="1360"/>
      <c r="AG700" s="1360"/>
      <c r="AH700" s="1360"/>
      <c r="AI700" s="1360"/>
      <c r="AJ700" s="1360"/>
      <c r="AK700" s="1360"/>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3" t="s">
        <v>670</v>
      </c>
      <c r="AF702" s="1333"/>
      <c r="AZ702" s="4" t="s">
        <v>324</v>
      </c>
    </row>
    <row r="703" spans="1:67"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8"/>
      <c r="K705" s="1348"/>
      <c r="L705" s="1348"/>
      <c r="M705" s="1348"/>
      <c r="N705" s="1348"/>
      <c r="O705" s="1348"/>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4" t="s">
        <v>389</v>
      </c>
      <c r="C714" s="1365"/>
      <c r="D714" s="1365"/>
      <c r="E714" s="1365"/>
      <c r="F714" s="1366"/>
      <c r="G714" s="1364" t="s">
        <v>285</v>
      </c>
      <c r="H714" s="1365"/>
      <c r="I714" s="1365"/>
      <c r="J714" s="1366"/>
      <c r="K714" s="1720" t="s">
        <v>1680</v>
      </c>
      <c r="L714" s="1721"/>
      <c r="M714" s="1721"/>
      <c r="N714" s="1722"/>
      <c r="O714" s="1364" t="s">
        <v>448</v>
      </c>
      <c r="P714" s="1365"/>
      <c r="Q714" s="1365"/>
      <c r="R714" s="1365"/>
      <c r="S714" s="1366"/>
      <c r="T714" s="1660" t="s">
        <v>1951</v>
      </c>
      <c r="U714" s="1365"/>
      <c r="V714" s="1365"/>
      <c r="W714" s="1366"/>
      <c r="X714" s="1660" t="s">
        <v>1953</v>
      </c>
      <c r="Y714" s="1365"/>
      <c r="Z714" s="1365"/>
      <c r="AA714" s="1365"/>
      <c r="AB714" s="1366"/>
      <c r="AC714" s="1660" t="s">
        <v>1952</v>
      </c>
      <c r="AD714" s="1365"/>
      <c r="AE714" s="1365"/>
      <c r="AF714" s="1365"/>
      <c r="AG714" s="1366"/>
      <c r="AH714" s="1660" t="s">
        <v>1954</v>
      </c>
      <c r="AI714" s="1365"/>
      <c r="AJ714" s="1366"/>
      <c r="AK714" s="1660" t="s">
        <v>1981</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7"/>
      <c r="C715" s="1368"/>
      <c r="D715" s="1368"/>
      <c r="E715" s="1368"/>
      <c r="F715" s="1369"/>
      <c r="G715" s="1367"/>
      <c r="H715" s="1368"/>
      <c r="I715" s="1368"/>
      <c r="J715" s="1369"/>
      <c r="K715" s="1723"/>
      <c r="L715" s="1724"/>
      <c r="M715" s="1724"/>
      <c r="N715" s="1725"/>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7"/>
      <c r="C716" s="1368"/>
      <c r="D716" s="1368"/>
      <c r="E716" s="1368"/>
      <c r="F716" s="1369"/>
      <c r="G716" s="1367"/>
      <c r="H716" s="1368"/>
      <c r="I716" s="1368"/>
      <c r="J716" s="1369"/>
      <c r="K716" s="1723"/>
      <c r="L716" s="1724"/>
      <c r="M716" s="1724"/>
      <c r="N716" s="1725"/>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0"/>
      <c r="C717" s="1371"/>
      <c r="D717" s="1371"/>
      <c r="E717" s="1371"/>
      <c r="F717" s="1372"/>
      <c r="G717" s="1370"/>
      <c r="H717" s="1371"/>
      <c r="I717" s="1371"/>
      <c r="J717" s="1372"/>
      <c r="K717" s="1723"/>
      <c r="L717" s="1724"/>
      <c r="M717" s="1724"/>
      <c r="N717" s="1725"/>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8" t="s">
        <v>634</v>
      </c>
      <c r="CQ717" s="1389"/>
      <c r="CR717" s="1389"/>
      <c r="CS717" s="1389"/>
      <c r="CT717" s="1390"/>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2.95" customHeight="1">
      <c r="A718" s="4"/>
      <c r="B718" s="1338" t="s">
        <v>325</v>
      </c>
      <c r="C718" s="1339"/>
      <c r="D718" s="1339"/>
      <c r="E718" s="1339"/>
      <c r="F718" s="1340"/>
      <c r="G718" s="1351">
        <v>20</v>
      </c>
      <c r="H718" s="1352"/>
      <c r="I718" s="1352"/>
      <c r="J718" s="1353"/>
      <c r="K718" s="1344">
        <v>454</v>
      </c>
      <c r="L718" s="1345"/>
      <c r="M718" s="1345"/>
      <c r="N718" s="1346"/>
      <c r="O718" s="1341">
        <v>822</v>
      </c>
      <c r="P718" s="1342"/>
      <c r="Q718" s="1342"/>
      <c r="R718" s="1342"/>
      <c r="S718" s="1343"/>
      <c r="T718" s="1341">
        <v>30</v>
      </c>
      <c r="U718" s="1342"/>
      <c r="V718" s="1342"/>
      <c r="W718" s="1343"/>
      <c r="X718" s="1354">
        <f t="shared" ref="X718:X741" si="8">O718+T718</f>
        <v>852</v>
      </c>
      <c r="Y718" s="1355"/>
      <c r="Z718" s="1355"/>
      <c r="AA718" s="1355"/>
      <c r="AB718" s="1356"/>
      <c r="AC718" s="1361">
        <v>0.3</v>
      </c>
      <c r="AD718" s="1362"/>
      <c r="AE718" s="1362"/>
      <c r="AF718" s="1362"/>
      <c r="AG718" s="1363"/>
      <c r="AH718" s="1357">
        <f>IF($AC718&gt;0,($X718/$AZ718), "")</f>
        <v>0.3</v>
      </c>
      <c r="AI718" s="1358"/>
      <c r="AJ718" s="1359"/>
      <c r="AK718" s="1338" t="s">
        <v>592</v>
      </c>
      <c r="AL718" s="1339"/>
      <c r="AM718" s="1339"/>
      <c r="AN718" s="1339"/>
      <c r="AO718" s="1340"/>
      <c r="AP718" s="3"/>
      <c r="AQ718" s="3"/>
      <c r="AR718" s="3"/>
      <c r="AS718" s="3"/>
      <c r="AZ718" s="118">
        <f t="shared" ref="AZ718:AZ752" si="9">IF($G718=0,"N/A",VLOOKUP($T$189,TC_Rent,(MATCH($B718,bedrooms,FALSE)),FALSE))</f>
        <v>2840</v>
      </c>
      <c r="BA718" s="3"/>
      <c r="BB718" s="3"/>
      <c r="BC718" s="3"/>
      <c r="BD718" s="3"/>
      <c r="BE718" s="204"/>
      <c r="BF718" s="293">
        <f t="shared" ref="BF718:BF752" si="10">G718</f>
        <v>20</v>
      </c>
      <c r="BG718" s="297">
        <f t="shared" ref="BG718:BG752" si="11">IF($BF$753=0,0,BF718/$BF$753)</f>
        <v>0.12658227848101267</v>
      </c>
      <c r="BH718" s="298">
        <f t="shared" ref="BH718:BH752" si="12">IF(BG718=0,"",BG718*AC718)</f>
        <v>3.7974683544303799E-2</v>
      </c>
      <c r="BI718" s="3"/>
      <c r="BJ718" s="3"/>
      <c r="BK718" s="3"/>
      <c r="BL718" s="3"/>
      <c r="BM718" s="3"/>
      <c r="BN718" s="3"/>
      <c r="BS718" s="293">
        <f t="shared" ref="BS718:BS752" si="13">G718</f>
        <v>20</v>
      </c>
      <c r="BT718" s="297">
        <f t="shared" ref="BT718:BT752" si="14">IF($BS$753=0,0,BS718/$BS$753)</f>
        <v>0.12658227848101267</v>
      </c>
      <c r="BU718" s="298">
        <f t="shared" ref="BU718:BU752" si="15">IF(BT718=0,"",BT718*AH718)</f>
        <v>3.7974683544303799E-2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20</v>
      </c>
      <c r="CN718" s="1472"/>
      <c r="CO718" s="3"/>
      <c r="CP718" s="1460">
        <f t="shared" ref="CP718:CP752" si="18">IF(B718="SRO/Studio",G718,0)</f>
        <v>0</v>
      </c>
      <c r="CQ718" s="1461"/>
      <c r="CR718" s="1461"/>
      <c r="CS718" s="1461"/>
      <c r="CT718" s="1462"/>
      <c r="CU718" s="1444">
        <f t="shared" ref="CU718:CU752" si="19">IF(B718="1 Bedroom",G718,0)</f>
        <v>20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20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t="str">
        <f t="shared" ref="EZ718:EZ752" si="30">IF(CP718&gt;0,O718,"")</f>
        <v/>
      </c>
      <c r="FA718" s="1467"/>
      <c r="FB718" s="1467"/>
      <c r="FC718" s="1467"/>
      <c r="FD718" s="1466"/>
      <c r="FE718" s="1465">
        <f t="shared" ref="FE718:FE752" si="31">IF(CU718&gt;0,O718,"")</f>
        <v>822</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5" customHeight="1">
      <c r="A719" s="4"/>
      <c r="B719" s="1338" t="s">
        <v>325</v>
      </c>
      <c r="C719" s="1339"/>
      <c r="D719" s="1339"/>
      <c r="E719" s="1339"/>
      <c r="F719" s="1340"/>
      <c r="G719" s="1351">
        <v>11</v>
      </c>
      <c r="H719" s="1352"/>
      <c r="I719" s="1352"/>
      <c r="J719" s="1353"/>
      <c r="K719" s="1344">
        <v>454</v>
      </c>
      <c r="L719" s="1345"/>
      <c r="M719" s="1345"/>
      <c r="N719" s="1346"/>
      <c r="O719" s="1341">
        <v>1674</v>
      </c>
      <c r="P719" s="1342"/>
      <c r="Q719" s="1342"/>
      <c r="R719" s="1342"/>
      <c r="S719" s="1343"/>
      <c r="T719" s="1341">
        <v>30</v>
      </c>
      <c r="U719" s="1342"/>
      <c r="V719" s="1342"/>
      <c r="W719" s="1343"/>
      <c r="X719" s="1354">
        <f t="shared" si="8"/>
        <v>1704</v>
      </c>
      <c r="Y719" s="1355"/>
      <c r="Z719" s="1355"/>
      <c r="AA719" s="1355"/>
      <c r="AB719" s="1356"/>
      <c r="AC719" s="1361">
        <v>0.6</v>
      </c>
      <c r="AD719" s="1362"/>
      <c r="AE719" s="1362"/>
      <c r="AF719" s="1362"/>
      <c r="AG719" s="1363"/>
      <c r="AH719" s="1357">
        <f t="shared" ref="AH719:AH752" si="36">IF($AC719&gt;0,($X719/$AZ719), "")</f>
        <v>0.6</v>
      </c>
      <c r="AI719" s="1358"/>
      <c r="AJ719" s="1359"/>
      <c r="AK719" s="1338" t="s">
        <v>592</v>
      </c>
      <c r="AL719" s="1339"/>
      <c r="AM719" s="1339"/>
      <c r="AN719" s="1339"/>
      <c r="AO719" s="1340"/>
      <c r="AP719" s="3"/>
      <c r="AQ719" s="3"/>
      <c r="AR719" s="3"/>
      <c r="AS719" s="3"/>
      <c r="AZ719" s="118">
        <f t="shared" si="9"/>
        <v>2840</v>
      </c>
      <c r="BA719" s="3"/>
      <c r="BB719" s="3"/>
      <c r="BC719" s="3"/>
      <c r="BD719" s="3"/>
      <c r="BE719" s="204"/>
      <c r="BF719" s="294">
        <f t="shared" si="10"/>
        <v>11</v>
      </c>
      <c r="BG719" s="297">
        <f t="shared" si="11"/>
        <v>6.9620253164556958E-2</v>
      </c>
      <c r="BH719" s="298">
        <f t="shared" si="12"/>
        <v>4.1772151898734171E-2</v>
      </c>
      <c r="BI719" s="3"/>
      <c r="BJ719" s="3"/>
      <c r="BK719" s="3"/>
      <c r="BL719" s="3"/>
      <c r="BM719" s="3"/>
      <c r="BN719" s="3"/>
      <c r="BS719" s="294">
        <f t="shared" si="13"/>
        <v>11</v>
      </c>
      <c r="BT719" s="297">
        <f t="shared" si="14"/>
        <v>6.9620253164556958E-2</v>
      </c>
      <c r="BU719" s="298">
        <f t="shared" si="15"/>
        <v>4.1772151898734171E-2</v>
      </c>
      <c r="CC719" s="3"/>
      <c r="CD719" s="3"/>
      <c r="CE719" s="3"/>
      <c r="CF719" s="3"/>
      <c r="CG719" s="1465">
        <f t="shared" ref="CG719:CG752" si="37">IF(AND(AC719&lt;=0.5,AC719&gt;=0.36),1,0)</f>
        <v>0</v>
      </c>
      <c r="CH719" s="1466"/>
      <c r="CI719" s="1471">
        <f t="shared" ref="CI719:CI752" si="38">IF(CG719=1,G719,0)</f>
        <v>0</v>
      </c>
      <c r="CJ719" s="1472"/>
      <c r="CK719" s="1465">
        <f t="shared" si="16"/>
        <v>0</v>
      </c>
      <c r="CL719" s="1466"/>
      <c r="CM719" s="1471">
        <f t="shared" si="17"/>
        <v>0</v>
      </c>
      <c r="CN719" s="1472"/>
      <c r="CO719" s="3"/>
      <c r="CP719" s="1460">
        <f t="shared" si="18"/>
        <v>0</v>
      </c>
      <c r="CQ719" s="1461"/>
      <c r="CR719" s="1461"/>
      <c r="CS719" s="1461"/>
      <c r="CT719" s="1462"/>
      <c r="CU719" s="1444">
        <f t="shared" si="19"/>
        <v>11</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t="str">
        <f t="shared" si="30"/>
        <v/>
      </c>
      <c r="FA719" s="1467"/>
      <c r="FB719" s="1467"/>
      <c r="FC719" s="1467"/>
      <c r="FD719" s="1466"/>
      <c r="FE719" s="1465">
        <f t="shared" si="31"/>
        <v>1674</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5" customHeight="1">
      <c r="A720" s="4"/>
      <c r="B720" s="1338" t="s">
        <v>163</v>
      </c>
      <c r="C720" s="1339"/>
      <c r="D720" s="1339"/>
      <c r="E720" s="1339"/>
      <c r="F720" s="1340"/>
      <c r="G720" s="1351">
        <v>10</v>
      </c>
      <c r="H720" s="1352"/>
      <c r="I720" s="1352"/>
      <c r="J720" s="1353"/>
      <c r="K720" s="1344">
        <v>707</v>
      </c>
      <c r="L720" s="1345"/>
      <c r="M720" s="1345"/>
      <c r="N720" s="1346"/>
      <c r="O720" s="1341">
        <v>983</v>
      </c>
      <c r="P720" s="1342"/>
      <c r="Q720" s="1342"/>
      <c r="R720" s="1342"/>
      <c r="S720" s="1343"/>
      <c r="T720" s="1341">
        <v>39</v>
      </c>
      <c r="U720" s="1342"/>
      <c r="V720" s="1342"/>
      <c r="W720" s="1343"/>
      <c r="X720" s="1354">
        <f t="shared" si="8"/>
        <v>1022</v>
      </c>
      <c r="Y720" s="1355"/>
      <c r="Z720" s="1355"/>
      <c r="AA720" s="1355"/>
      <c r="AB720" s="1356"/>
      <c r="AC720" s="1361">
        <v>0.3</v>
      </c>
      <c r="AD720" s="1362"/>
      <c r="AE720" s="1362"/>
      <c r="AF720" s="1362"/>
      <c r="AG720" s="1363"/>
      <c r="AH720" s="1357">
        <f t="shared" si="36"/>
        <v>0.30005871990604815</v>
      </c>
      <c r="AI720" s="1358"/>
      <c r="AJ720" s="1359"/>
      <c r="AK720" s="1338" t="s">
        <v>592</v>
      </c>
      <c r="AL720" s="1339"/>
      <c r="AM720" s="1339"/>
      <c r="AN720" s="1339"/>
      <c r="AO720" s="1340"/>
      <c r="AP720" s="3"/>
      <c r="AQ720" s="3"/>
      <c r="AR720" s="3"/>
      <c r="AS720" s="3"/>
      <c r="AZ720" s="118">
        <f t="shared" si="9"/>
        <v>3406</v>
      </c>
      <c r="BA720" s="3"/>
      <c r="BB720" s="3"/>
      <c r="BC720" s="3"/>
      <c r="BD720" s="3"/>
      <c r="BE720" s="204"/>
      <c r="BF720" s="294">
        <f t="shared" si="10"/>
        <v>10</v>
      </c>
      <c r="BG720" s="297">
        <f t="shared" si="11"/>
        <v>6.3291139240506333E-2</v>
      </c>
      <c r="BH720" s="298">
        <f t="shared" si="12"/>
        <v>1.8987341772151899E-2</v>
      </c>
      <c r="BI720" s="3"/>
      <c r="BJ720" s="3"/>
      <c r="BK720" s="3"/>
      <c r="BL720" s="3"/>
      <c r="BM720" s="3"/>
      <c r="BN720" s="3"/>
      <c r="BS720" s="294">
        <f t="shared" si="13"/>
        <v>10</v>
      </c>
      <c r="BT720" s="297">
        <f t="shared" si="14"/>
        <v>6.3291139240506333E-2</v>
      </c>
      <c r="BU720" s="298">
        <f t="shared" si="15"/>
        <v>1.8991058221901783E-2</v>
      </c>
      <c r="CC720" s="3"/>
      <c r="CD720" s="3"/>
      <c r="CE720" s="3"/>
      <c r="CF720" s="3"/>
      <c r="CG720" s="1465">
        <f t="shared" si="37"/>
        <v>0</v>
      </c>
      <c r="CH720" s="1466"/>
      <c r="CI720" s="1471">
        <f t="shared" si="38"/>
        <v>0</v>
      </c>
      <c r="CJ720" s="1472"/>
      <c r="CK720" s="1465">
        <f t="shared" si="16"/>
        <v>1</v>
      </c>
      <c r="CL720" s="1466"/>
      <c r="CM720" s="1471">
        <f t="shared" si="17"/>
        <v>10</v>
      </c>
      <c r="CN720" s="1472"/>
      <c r="CO720" s="3"/>
      <c r="CP720" s="1460">
        <f t="shared" si="18"/>
        <v>0</v>
      </c>
      <c r="CQ720" s="1461"/>
      <c r="CR720" s="1461"/>
      <c r="CS720" s="1461"/>
      <c r="CT720" s="1462"/>
      <c r="CU720" s="1444">
        <f t="shared" si="19"/>
        <v>0</v>
      </c>
      <c r="CV720" s="1444"/>
      <c r="CW720" s="1444"/>
      <c r="CX720" s="1444"/>
      <c r="CY720" s="1444"/>
      <c r="CZ720" s="1444">
        <f t="shared" si="20"/>
        <v>10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10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t="str">
        <f t="shared" si="30"/>
        <v/>
      </c>
      <c r="FA720" s="1467"/>
      <c r="FB720" s="1467"/>
      <c r="FC720" s="1467"/>
      <c r="FD720" s="1466"/>
      <c r="FE720" s="1465" t="str">
        <f t="shared" si="31"/>
        <v/>
      </c>
      <c r="FF720" s="1467"/>
      <c r="FG720" s="1467"/>
      <c r="FH720" s="1467"/>
      <c r="FI720" s="1466"/>
      <c r="FJ720" s="1465">
        <f t="shared" si="32"/>
        <v>983</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5" customHeight="1">
      <c r="B721" s="1338" t="s">
        <v>163</v>
      </c>
      <c r="C721" s="1339"/>
      <c r="D721" s="1339"/>
      <c r="E721" s="1339"/>
      <c r="F721" s="1340"/>
      <c r="G721" s="1351">
        <v>10</v>
      </c>
      <c r="H721" s="1352"/>
      <c r="I721" s="1352"/>
      <c r="J721" s="1353"/>
      <c r="K721" s="1344">
        <v>707</v>
      </c>
      <c r="L721" s="1345"/>
      <c r="M721" s="1345"/>
      <c r="N721" s="1346"/>
      <c r="O721" s="1341">
        <v>1665</v>
      </c>
      <c r="P721" s="1342"/>
      <c r="Q721" s="1342"/>
      <c r="R721" s="1342"/>
      <c r="S721" s="1343"/>
      <c r="T721" s="1341">
        <v>39</v>
      </c>
      <c r="U721" s="1342"/>
      <c r="V721" s="1342"/>
      <c r="W721" s="1343"/>
      <c r="X721" s="1354">
        <f t="shared" si="8"/>
        <v>1704</v>
      </c>
      <c r="Y721" s="1355"/>
      <c r="Z721" s="1355"/>
      <c r="AA721" s="1355"/>
      <c r="AB721" s="1356"/>
      <c r="AC721" s="1361">
        <v>0.5</v>
      </c>
      <c r="AD721" s="1362"/>
      <c r="AE721" s="1362"/>
      <c r="AF721" s="1362"/>
      <c r="AG721" s="1363"/>
      <c r="AH721" s="1357">
        <f t="shared" si="36"/>
        <v>0.50029359953024077</v>
      </c>
      <c r="AI721" s="1358"/>
      <c r="AJ721" s="1359"/>
      <c r="AK721" s="1338" t="s">
        <v>592</v>
      </c>
      <c r="AL721" s="1339"/>
      <c r="AM721" s="1339"/>
      <c r="AN721" s="1339"/>
      <c r="AO721" s="1340"/>
      <c r="AP721" s="3"/>
      <c r="AQ721" s="3"/>
      <c r="AR721" s="3"/>
      <c r="AS721" s="3"/>
      <c r="AY721" s="116"/>
      <c r="AZ721" s="118">
        <f t="shared" si="9"/>
        <v>3406</v>
      </c>
      <c r="BA721" s="3"/>
      <c r="BB721" s="3"/>
      <c r="BC721" s="3"/>
      <c r="BD721" s="3"/>
      <c r="BE721" s="204"/>
      <c r="BF721" s="294">
        <f t="shared" si="10"/>
        <v>10</v>
      </c>
      <c r="BG721" s="297">
        <f t="shared" si="11"/>
        <v>6.3291139240506333E-2</v>
      </c>
      <c r="BH721" s="298">
        <f t="shared" si="12"/>
        <v>3.1645569620253167E-2</v>
      </c>
      <c r="BI721" s="3"/>
      <c r="BJ721" s="3"/>
      <c r="BK721" s="3"/>
      <c r="BL721" s="3"/>
      <c r="BM721" s="3"/>
      <c r="BN721" s="3"/>
      <c r="BS721" s="294">
        <f t="shared" si="13"/>
        <v>10</v>
      </c>
      <c r="BT721" s="297">
        <f t="shared" si="14"/>
        <v>6.3291139240506333E-2</v>
      </c>
      <c r="BU721" s="298">
        <f t="shared" si="15"/>
        <v>3.166415186900258E-2</v>
      </c>
      <c r="CC721" s="3"/>
      <c r="CD721" s="3"/>
      <c r="CE721" s="3"/>
      <c r="CF721" s="3"/>
      <c r="CG721" s="1465">
        <f t="shared" si="37"/>
        <v>1</v>
      </c>
      <c r="CH721" s="1466"/>
      <c r="CI721" s="1471">
        <f t="shared" si="38"/>
        <v>10</v>
      </c>
      <c r="CJ721" s="1472"/>
      <c r="CK721" s="1465">
        <f t="shared" si="16"/>
        <v>0</v>
      </c>
      <c r="CL721" s="1466"/>
      <c r="CM721" s="1471">
        <f t="shared" si="17"/>
        <v>0</v>
      </c>
      <c r="CN721" s="1472"/>
      <c r="CO721" s="3"/>
      <c r="CP721" s="1460">
        <f t="shared" si="18"/>
        <v>0</v>
      </c>
      <c r="CQ721" s="1461"/>
      <c r="CR721" s="1461"/>
      <c r="CS721" s="1461"/>
      <c r="CT721" s="1462"/>
      <c r="CU721" s="1444">
        <f t="shared" si="19"/>
        <v>0</v>
      </c>
      <c r="CV721" s="1444"/>
      <c r="CW721" s="1444"/>
      <c r="CX721" s="1444"/>
      <c r="CY721" s="1444"/>
      <c r="CZ721" s="1444">
        <f t="shared" si="20"/>
        <v>10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t="str">
        <f t="shared" si="31"/>
        <v/>
      </c>
      <c r="FF721" s="1467"/>
      <c r="FG721" s="1467"/>
      <c r="FH721" s="1467"/>
      <c r="FI721" s="1466"/>
      <c r="FJ721" s="1465">
        <f t="shared" si="32"/>
        <v>1665</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5" customHeight="1">
      <c r="B722" s="1338" t="s">
        <v>163</v>
      </c>
      <c r="C722" s="1339"/>
      <c r="D722" s="1339"/>
      <c r="E722" s="1339"/>
      <c r="F722" s="1340"/>
      <c r="G722" s="1351">
        <v>35</v>
      </c>
      <c r="H722" s="1352"/>
      <c r="I722" s="1352"/>
      <c r="J722" s="1353"/>
      <c r="K722" s="1344">
        <v>707</v>
      </c>
      <c r="L722" s="1345"/>
      <c r="M722" s="1345"/>
      <c r="N722" s="1346"/>
      <c r="O722" s="1341">
        <v>2005</v>
      </c>
      <c r="P722" s="1342"/>
      <c r="Q722" s="1342"/>
      <c r="R722" s="1342"/>
      <c r="S722" s="1343"/>
      <c r="T722" s="1341">
        <v>39</v>
      </c>
      <c r="U722" s="1342"/>
      <c r="V722" s="1342"/>
      <c r="W722" s="1343"/>
      <c r="X722" s="1354">
        <f t="shared" si="8"/>
        <v>2044</v>
      </c>
      <c r="Y722" s="1355"/>
      <c r="Z722" s="1355"/>
      <c r="AA722" s="1355"/>
      <c r="AB722" s="1356"/>
      <c r="AC722" s="1361">
        <v>0.6</v>
      </c>
      <c r="AD722" s="1362"/>
      <c r="AE722" s="1362"/>
      <c r="AF722" s="1362"/>
      <c r="AG722" s="1363"/>
      <c r="AH722" s="1357">
        <f t="shared" si="36"/>
        <v>0.60011743981209631</v>
      </c>
      <c r="AI722" s="1358"/>
      <c r="AJ722" s="1359"/>
      <c r="AK722" s="1338" t="s">
        <v>592</v>
      </c>
      <c r="AL722" s="1339"/>
      <c r="AM722" s="1339"/>
      <c r="AN722" s="1339"/>
      <c r="AO722" s="1340"/>
      <c r="AP722" s="3"/>
      <c r="AQ722" s="3"/>
      <c r="AR722" s="3"/>
      <c r="AS722" s="3"/>
      <c r="AY722" s="116"/>
      <c r="AZ722" s="118">
        <f t="shared" si="9"/>
        <v>3406</v>
      </c>
      <c r="BA722" s="3"/>
      <c r="BB722" s="3"/>
      <c r="BC722" s="3"/>
      <c r="BD722" s="3"/>
      <c r="BE722" s="204"/>
      <c r="BF722" s="294">
        <f t="shared" si="10"/>
        <v>35</v>
      </c>
      <c r="BG722" s="297">
        <f t="shared" si="11"/>
        <v>0.22151898734177214</v>
      </c>
      <c r="BH722" s="298">
        <f t="shared" si="12"/>
        <v>0.13291139240506328</v>
      </c>
      <c r="BI722" s="3"/>
      <c r="BJ722" s="3"/>
      <c r="BK722" s="3"/>
      <c r="BL722" s="3"/>
      <c r="BM722" s="3"/>
      <c r="BN722" s="3"/>
      <c r="BS722" s="294">
        <f t="shared" si="13"/>
        <v>35</v>
      </c>
      <c r="BT722" s="297">
        <f t="shared" si="14"/>
        <v>0.22151898734177214</v>
      </c>
      <c r="BU722" s="298">
        <f t="shared" si="15"/>
        <v>0.13293740755331246</v>
      </c>
      <c r="CC722" s="3"/>
      <c r="CD722" s="3"/>
      <c r="CE722" s="3"/>
      <c r="CF722" s="3"/>
      <c r="CG722" s="1465">
        <f t="shared" si="37"/>
        <v>0</v>
      </c>
      <c r="CH722" s="1466"/>
      <c r="CI722" s="1471">
        <f t="shared" si="38"/>
        <v>0</v>
      </c>
      <c r="CJ722" s="1472"/>
      <c r="CK722" s="1465">
        <f t="shared" si="16"/>
        <v>0</v>
      </c>
      <c r="CL722" s="1466"/>
      <c r="CM722" s="1471">
        <f t="shared" si="17"/>
        <v>0</v>
      </c>
      <c r="CN722" s="1472"/>
      <c r="CO722" s="3"/>
      <c r="CP722" s="1460">
        <f t="shared" si="18"/>
        <v>0</v>
      </c>
      <c r="CQ722" s="1461"/>
      <c r="CR722" s="1461"/>
      <c r="CS722" s="1461"/>
      <c r="CT722" s="1462"/>
      <c r="CU722" s="1444">
        <f t="shared" si="19"/>
        <v>0</v>
      </c>
      <c r="CV722" s="1444"/>
      <c r="CW722" s="1444"/>
      <c r="CX722" s="1444"/>
      <c r="CY722" s="1444"/>
      <c r="CZ722" s="1444">
        <f t="shared" si="20"/>
        <v>35</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t="str">
        <f t="shared" si="31"/>
        <v/>
      </c>
      <c r="FF722" s="1467"/>
      <c r="FG722" s="1467"/>
      <c r="FH722" s="1467"/>
      <c r="FI722" s="1466"/>
      <c r="FJ722" s="1465">
        <f t="shared" si="32"/>
        <v>2005</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5" customHeight="1">
      <c r="B723" s="1338" t="s">
        <v>163</v>
      </c>
      <c r="C723" s="1339"/>
      <c r="D723" s="1339"/>
      <c r="E723" s="1339"/>
      <c r="F723" s="1340"/>
      <c r="G723" s="1351">
        <v>25</v>
      </c>
      <c r="H723" s="1352"/>
      <c r="I723" s="1352"/>
      <c r="J723" s="1353"/>
      <c r="K723" s="1344">
        <v>707</v>
      </c>
      <c r="L723" s="1345"/>
      <c r="M723" s="1345"/>
      <c r="N723" s="1346"/>
      <c r="O723" s="1341">
        <v>2346</v>
      </c>
      <c r="P723" s="1342"/>
      <c r="Q723" s="1342"/>
      <c r="R723" s="1342"/>
      <c r="S723" s="1343"/>
      <c r="T723" s="1341">
        <v>39</v>
      </c>
      <c r="U723" s="1342"/>
      <c r="V723" s="1342"/>
      <c r="W723" s="1343"/>
      <c r="X723" s="1354">
        <f t="shared" si="8"/>
        <v>2385</v>
      </c>
      <c r="Y723" s="1355"/>
      <c r="Z723" s="1355"/>
      <c r="AA723" s="1355"/>
      <c r="AB723" s="1356"/>
      <c r="AC723" s="1361">
        <v>0.7</v>
      </c>
      <c r="AD723" s="1362"/>
      <c r="AE723" s="1362"/>
      <c r="AF723" s="1362"/>
      <c r="AG723" s="1363"/>
      <c r="AH723" s="1357">
        <f t="shared" si="36"/>
        <v>0.70023487962419262</v>
      </c>
      <c r="AI723" s="1358"/>
      <c r="AJ723" s="1359"/>
      <c r="AK723" s="1338" t="s">
        <v>592</v>
      </c>
      <c r="AL723" s="1339"/>
      <c r="AM723" s="1339"/>
      <c r="AN723" s="1339"/>
      <c r="AO723" s="1340"/>
      <c r="AP723" s="3"/>
      <c r="AQ723" s="3"/>
      <c r="AR723" s="3"/>
      <c r="AS723" s="3"/>
      <c r="AY723" s="116"/>
      <c r="AZ723" s="118">
        <f t="shared" si="9"/>
        <v>3406</v>
      </c>
      <c r="BA723" s="3"/>
      <c r="BB723" s="3"/>
      <c r="BC723" s="3"/>
      <c r="BD723" s="3"/>
      <c r="BE723" s="204"/>
      <c r="BF723" s="294">
        <f t="shared" si="10"/>
        <v>25</v>
      </c>
      <c r="BG723" s="297">
        <f t="shared" si="11"/>
        <v>0.15822784810126583</v>
      </c>
      <c r="BH723" s="298">
        <f t="shared" si="12"/>
        <v>0.11075949367088607</v>
      </c>
      <c r="BI723" s="3"/>
      <c r="BJ723" s="3"/>
      <c r="BK723" s="3"/>
      <c r="BL723" s="3"/>
      <c r="BM723" s="3"/>
      <c r="BN723" s="3"/>
      <c r="BS723" s="294">
        <f t="shared" si="13"/>
        <v>25</v>
      </c>
      <c r="BT723" s="297">
        <f t="shared" si="14"/>
        <v>0.15822784810126583</v>
      </c>
      <c r="BU723" s="298">
        <f t="shared" si="15"/>
        <v>0.11079665816838491</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4">
        <f t="shared" si="19"/>
        <v>0</v>
      </c>
      <c r="CV723" s="1444"/>
      <c r="CW723" s="1444"/>
      <c r="CX723" s="1444"/>
      <c r="CY723" s="1444"/>
      <c r="CZ723" s="1444">
        <f t="shared" si="20"/>
        <v>25</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t="str">
        <f t="shared" si="31"/>
        <v/>
      </c>
      <c r="FF723" s="1467"/>
      <c r="FG723" s="1467"/>
      <c r="FH723" s="1467"/>
      <c r="FI723" s="1466"/>
      <c r="FJ723" s="1465">
        <f t="shared" si="32"/>
        <v>2346</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5" customHeight="1">
      <c r="B724" s="1338" t="s">
        <v>164</v>
      </c>
      <c r="C724" s="1339"/>
      <c r="D724" s="1339"/>
      <c r="E724" s="1339"/>
      <c r="F724" s="1340"/>
      <c r="G724" s="1351">
        <v>5</v>
      </c>
      <c r="H724" s="1352"/>
      <c r="I724" s="1352"/>
      <c r="J724" s="1353"/>
      <c r="K724" s="1344">
        <v>909</v>
      </c>
      <c r="L724" s="1345"/>
      <c r="M724" s="1345"/>
      <c r="N724" s="1346"/>
      <c r="O724" s="1341">
        <v>1131</v>
      </c>
      <c r="P724" s="1342"/>
      <c r="Q724" s="1342"/>
      <c r="R724" s="1342"/>
      <c r="S724" s="1343"/>
      <c r="T724" s="1341">
        <v>48</v>
      </c>
      <c r="U724" s="1342"/>
      <c r="V724" s="1342"/>
      <c r="W724" s="1343"/>
      <c r="X724" s="1354">
        <f t="shared" si="8"/>
        <v>1179</v>
      </c>
      <c r="Y724" s="1355"/>
      <c r="Z724" s="1355"/>
      <c r="AA724" s="1355"/>
      <c r="AB724" s="1356"/>
      <c r="AC724" s="1361">
        <v>0.3</v>
      </c>
      <c r="AD724" s="1362"/>
      <c r="AE724" s="1362"/>
      <c r="AF724" s="1362"/>
      <c r="AG724" s="1363"/>
      <c r="AH724" s="1357">
        <f t="shared" si="36"/>
        <v>0.29939055358049771</v>
      </c>
      <c r="AI724" s="1358"/>
      <c r="AJ724" s="1359"/>
      <c r="AK724" s="1338" t="s">
        <v>592</v>
      </c>
      <c r="AL724" s="1339"/>
      <c r="AM724" s="1339"/>
      <c r="AN724" s="1339"/>
      <c r="AO724" s="1340"/>
      <c r="AP724" s="3"/>
      <c r="AQ724" s="3"/>
      <c r="AR724" s="3"/>
      <c r="AS724" s="3"/>
      <c r="AY724" s="116"/>
      <c r="AZ724" s="118">
        <f t="shared" si="9"/>
        <v>3938</v>
      </c>
      <c r="BA724" s="3"/>
      <c r="BB724" s="3"/>
      <c r="BC724" s="3"/>
      <c r="BD724" s="3"/>
      <c r="BE724" s="204"/>
      <c r="BF724" s="294">
        <f t="shared" si="10"/>
        <v>5</v>
      </c>
      <c r="BG724" s="297">
        <f t="shared" si="11"/>
        <v>3.1645569620253167E-2</v>
      </c>
      <c r="BH724" s="298">
        <f t="shared" si="12"/>
        <v>9.4936708860759497E-3</v>
      </c>
      <c r="BI724" s="3"/>
      <c r="BJ724" s="3"/>
      <c r="BK724" s="3"/>
      <c r="BL724" s="3"/>
      <c r="BM724" s="3"/>
      <c r="BN724" s="3"/>
      <c r="BS724" s="294">
        <f t="shared" si="13"/>
        <v>5</v>
      </c>
      <c r="BT724" s="297">
        <f t="shared" si="14"/>
        <v>3.1645569620253167E-2</v>
      </c>
      <c r="BU724" s="298">
        <f t="shared" si="15"/>
        <v>9.474384606977776E-3</v>
      </c>
      <c r="CC724" s="3"/>
      <c r="CE724" s="3"/>
      <c r="CF724" s="3"/>
      <c r="CG724" s="1465">
        <f t="shared" si="37"/>
        <v>0</v>
      </c>
      <c r="CH724" s="1466"/>
      <c r="CI724" s="1471">
        <f t="shared" si="38"/>
        <v>0</v>
      </c>
      <c r="CJ724" s="1472"/>
      <c r="CK724" s="1465">
        <f t="shared" si="16"/>
        <v>1</v>
      </c>
      <c r="CL724" s="1466"/>
      <c r="CM724" s="1471">
        <f t="shared" si="17"/>
        <v>5</v>
      </c>
      <c r="CN724" s="1472"/>
      <c r="CO724" s="3"/>
      <c r="CP724" s="1460">
        <f t="shared" si="18"/>
        <v>0</v>
      </c>
      <c r="CQ724" s="1461"/>
      <c r="CR724" s="1461"/>
      <c r="CS724" s="1461"/>
      <c r="CT724" s="1462"/>
      <c r="CU724" s="1444">
        <f t="shared" si="19"/>
        <v>0</v>
      </c>
      <c r="CV724" s="1444"/>
      <c r="CW724" s="1444"/>
      <c r="CX724" s="1444"/>
      <c r="CY724" s="1444"/>
      <c r="CZ724" s="1444">
        <f t="shared" si="20"/>
        <v>0</v>
      </c>
      <c r="DA724" s="1444"/>
      <c r="DB724" s="1444"/>
      <c r="DC724" s="1444"/>
      <c r="DD724" s="1444"/>
      <c r="DE724" s="1444">
        <f t="shared" si="21"/>
        <v>5</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5</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f t="shared" si="33"/>
        <v>1131</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5" customHeight="1">
      <c r="B725" s="1338" t="s">
        <v>164</v>
      </c>
      <c r="C725" s="1339"/>
      <c r="D725" s="1339"/>
      <c r="E725" s="1339"/>
      <c r="F725" s="1340"/>
      <c r="G725" s="1351">
        <v>5</v>
      </c>
      <c r="H725" s="1352"/>
      <c r="I725" s="1352"/>
      <c r="J725" s="1353"/>
      <c r="K725" s="1344">
        <v>909</v>
      </c>
      <c r="L725" s="1345"/>
      <c r="M725" s="1345"/>
      <c r="N725" s="1346"/>
      <c r="O725" s="1341">
        <v>1920</v>
      </c>
      <c r="P725" s="1342"/>
      <c r="Q725" s="1342"/>
      <c r="R725" s="1342"/>
      <c r="S725" s="1343"/>
      <c r="T725" s="1341">
        <v>48</v>
      </c>
      <c r="U725" s="1342"/>
      <c r="V725" s="1342"/>
      <c r="W725" s="1343"/>
      <c r="X725" s="1354">
        <f t="shared" si="8"/>
        <v>1968</v>
      </c>
      <c r="Y725" s="1355"/>
      <c r="Z725" s="1355"/>
      <c r="AA725" s="1355"/>
      <c r="AB725" s="1356"/>
      <c r="AC725" s="1361">
        <v>0.5</v>
      </c>
      <c r="AD725" s="1362"/>
      <c r="AE725" s="1362"/>
      <c r="AF725" s="1362"/>
      <c r="AG725" s="1363"/>
      <c r="AH725" s="1357">
        <f t="shared" si="36"/>
        <v>0.49974606399187405</v>
      </c>
      <c r="AI725" s="1358"/>
      <c r="AJ725" s="1359"/>
      <c r="AK725" s="1338" t="s">
        <v>592</v>
      </c>
      <c r="AL725" s="1339"/>
      <c r="AM725" s="1339"/>
      <c r="AN725" s="1339"/>
      <c r="AO725" s="1340"/>
      <c r="AP725" s="3"/>
      <c r="AQ725" s="3"/>
      <c r="AR725" s="3"/>
      <c r="AS725" s="3"/>
      <c r="AY725" s="1085"/>
      <c r="AZ725" s="118">
        <f t="shared" si="9"/>
        <v>3938</v>
      </c>
      <c r="BA725" s="3"/>
      <c r="BB725" s="3"/>
      <c r="BC725" s="3"/>
      <c r="BD725" s="3"/>
      <c r="BE725" s="204"/>
      <c r="BF725" s="294">
        <f t="shared" si="10"/>
        <v>5</v>
      </c>
      <c r="BG725" s="297">
        <f t="shared" si="11"/>
        <v>3.1645569620253167E-2</v>
      </c>
      <c r="BH725" s="298">
        <f t="shared" si="12"/>
        <v>1.5822784810126583E-2</v>
      </c>
      <c r="BI725" s="3"/>
      <c r="BJ725" s="3"/>
      <c r="BK725" s="3"/>
      <c r="BL725" s="3"/>
      <c r="BM725" s="3"/>
      <c r="BN725" s="3"/>
      <c r="BS725" s="294">
        <f t="shared" si="13"/>
        <v>5</v>
      </c>
      <c r="BT725" s="297">
        <f t="shared" si="14"/>
        <v>3.1645569620253167E-2</v>
      </c>
      <c r="BU725" s="298">
        <f t="shared" si="15"/>
        <v>1.5814748860502343E-2</v>
      </c>
      <c r="BV725" s="292"/>
      <c r="BW725" s="3"/>
      <c r="BX725" s="3"/>
      <c r="BY725" s="3"/>
      <c r="BZ725" s="3"/>
      <c r="CA725" s="3"/>
      <c r="CB725" s="3"/>
      <c r="CC725" s="3"/>
      <c r="CE725" s="3"/>
      <c r="CF725" s="3"/>
      <c r="CG725" s="1465">
        <f t="shared" si="37"/>
        <v>1</v>
      </c>
      <c r="CH725" s="1466"/>
      <c r="CI725" s="1471">
        <f t="shared" si="38"/>
        <v>5</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0</v>
      </c>
      <c r="DA725" s="1444"/>
      <c r="DB725" s="1444"/>
      <c r="DC725" s="1444"/>
      <c r="DD725" s="1444"/>
      <c r="DE725" s="1444">
        <f t="shared" si="21"/>
        <v>5</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f t="shared" si="33"/>
        <v>1920</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5" customHeight="1">
      <c r="B726" s="1338" t="s">
        <v>164</v>
      </c>
      <c r="C726" s="1339"/>
      <c r="D726" s="1339"/>
      <c r="E726" s="1339"/>
      <c r="F726" s="1340"/>
      <c r="G726" s="1351">
        <v>37</v>
      </c>
      <c r="H726" s="1352"/>
      <c r="I726" s="1352"/>
      <c r="J726" s="1353"/>
      <c r="K726" s="1344">
        <v>909</v>
      </c>
      <c r="L726" s="1345"/>
      <c r="M726" s="1345"/>
      <c r="N726" s="1346"/>
      <c r="O726" s="1341">
        <v>2708</v>
      </c>
      <c r="P726" s="1342"/>
      <c r="Q726" s="1342"/>
      <c r="R726" s="1342"/>
      <c r="S726" s="1343"/>
      <c r="T726" s="1341">
        <v>48</v>
      </c>
      <c r="U726" s="1342"/>
      <c r="V726" s="1342"/>
      <c r="W726" s="1343"/>
      <c r="X726" s="1354">
        <f t="shared" si="8"/>
        <v>2756</v>
      </c>
      <c r="Y726" s="1355"/>
      <c r="Z726" s="1355"/>
      <c r="AA726" s="1355"/>
      <c r="AB726" s="1356"/>
      <c r="AC726" s="1361">
        <v>0.7</v>
      </c>
      <c r="AD726" s="1362"/>
      <c r="AE726" s="1362"/>
      <c r="AF726" s="1362"/>
      <c r="AG726" s="1363"/>
      <c r="AH726" s="1357">
        <f t="shared" si="36"/>
        <v>0.69984763839512443</v>
      </c>
      <c r="AI726" s="1358"/>
      <c r="AJ726" s="1359"/>
      <c r="AK726" s="1338" t="s">
        <v>592</v>
      </c>
      <c r="AL726" s="1339"/>
      <c r="AM726" s="1339"/>
      <c r="AN726" s="1339"/>
      <c r="AO726" s="1340"/>
      <c r="AP726" s="3"/>
      <c r="AQ726" s="3"/>
      <c r="AR726" s="3"/>
      <c r="AS726" s="3"/>
      <c r="AY726" s="1085"/>
      <c r="AZ726" s="118">
        <f t="shared" si="9"/>
        <v>3938</v>
      </c>
      <c r="BA726" s="3"/>
      <c r="BB726" s="3"/>
      <c r="BC726" s="3"/>
      <c r="BD726" s="3"/>
      <c r="BE726" s="204"/>
      <c r="BF726" s="294">
        <f t="shared" si="10"/>
        <v>37</v>
      </c>
      <c r="BG726" s="297">
        <f t="shared" si="11"/>
        <v>0.23417721518987342</v>
      </c>
      <c r="BH726" s="298">
        <f t="shared" si="12"/>
        <v>0.16392405063291138</v>
      </c>
      <c r="BI726" s="3"/>
      <c r="BJ726" s="3"/>
      <c r="BK726" s="3"/>
      <c r="BL726" s="3"/>
      <c r="BM726" s="3"/>
      <c r="BN726" s="3"/>
      <c r="BS726" s="294">
        <f t="shared" si="13"/>
        <v>37</v>
      </c>
      <c r="BT726" s="297">
        <f t="shared" si="14"/>
        <v>0.23417721518987342</v>
      </c>
      <c r="BU726" s="298">
        <f t="shared" si="15"/>
        <v>0.16388837101657977</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4">
        <f t="shared" si="19"/>
        <v>0</v>
      </c>
      <c r="CV726" s="1444"/>
      <c r="CW726" s="1444"/>
      <c r="CX726" s="1444"/>
      <c r="CY726" s="1444"/>
      <c r="CZ726" s="1444">
        <f t="shared" si="20"/>
        <v>0</v>
      </c>
      <c r="DA726" s="1444"/>
      <c r="DB726" s="1444"/>
      <c r="DC726" s="1444"/>
      <c r="DD726" s="1444"/>
      <c r="DE726" s="1444">
        <f t="shared" si="21"/>
        <v>37</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f t="shared" si="33"/>
        <v>2708</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5" customHeight="1">
      <c r="A727" s="4"/>
      <c r="B727" s="1338"/>
      <c r="C727" s="1339"/>
      <c r="D727" s="1339"/>
      <c r="E727" s="1339"/>
      <c r="F727" s="1340"/>
      <c r="G727" s="1351"/>
      <c r="H727" s="1352"/>
      <c r="I727" s="1352"/>
      <c r="J727" s="1353"/>
      <c r="K727" s="1344"/>
      <c r="L727" s="1345"/>
      <c r="M727" s="1345"/>
      <c r="N727" s="1346"/>
      <c r="O727" s="1341"/>
      <c r="P727" s="1342"/>
      <c r="Q727" s="1342"/>
      <c r="R727" s="1342"/>
      <c r="S727" s="1343"/>
      <c r="T727" s="1341"/>
      <c r="U727" s="1342"/>
      <c r="V727" s="1342"/>
      <c r="W727" s="1343"/>
      <c r="X727" s="1354">
        <f t="shared" si="8"/>
        <v>0</v>
      </c>
      <c r="Y727" s="1355"/>
      <c r="Z727" s="1355"/>
      <c r="AA727" s="1355"/>
      <c r="AB727" s="1356"/>
      <c r="AC727" s="1361"/>
      <c r="AD727" s="1362"/>
      <c r="AE727" s="1362"/>
      <c r="AF727" s="1362"/>
      <c r="AG727" s="1363"/>
      <c r="AH727" s="1357" t="str">
        <f t="shared" si="36"/>
        <v/>
      </c>
      <c r="AI727" s="1358"/>
      <c r="AJ727" s="1359"/>
      <c r="AK727" s="1338" t="s">
        <v>592</v>
      </c>
      <c r="AL727" s="1339"/>
      <c r="AM727" s="1339"/>
      <c r="AN727" s="1339"/>
      <c r="AO727" s="134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5" customHeight="1">
      <c r="A728" s="4"/>
      <c r="B728" s="1338"/>
      <c r="C728" s="1339"/>
      <c r="D728" s="1339"/>
      <c r="E728" s="1339"/>
      <c r="F728" s="1340"/>
      <c r="G728" s="1351"/>
      <c r="H728" s="1352"/>
      <c r="I728" s="1352"/>
      <c r="J728" s="1353"/>
      <c r="K728" s="1344"/>
      <c r="L728" s="1345"/>
      <c r="M728" s="1345"/>
      <c r="N728" s="1346"/>
      <c r="O728" s="1341"/>
      <c r="P728" s="1342"/>
      <c r="Q728" s="1342"/>
      <c r="R728" s="1342"/>
      <c r="S728" s="1343"/>
      <c r="T728" s="1341"/>
      <c r="U728" s="1342"/>
      <c r="V728" s="1342"/>
      <c r="W728" s="1343"/>
      <c r="X728" s="1354">
        <f t="shared" si="8"/>
        <v>0</v>
      </c>
      <c r="Y728" s="1355"/>
      <c r="Z728" s="1355"/>
      <c r="AA728" s="1355"/>
      <c r="AB728" s="1356"/>
      <c r="AC728" s="1361"/>
      <c r="AD728" s="1362"/>
      <c r="AE728" s="1362"/>
      <c r="AF728" s="1362"/>
      <c r="AG728" s="1363"/>
      <c r="AH728" s="1357" t="str">
        <f t="shared" si="36"/>
        <v/>
      </c>
      <c r="AI728" s="1358"/>
      <c r="AJ728" s="1359"/>
      <c r="AK728" s="1338" t="s">
        <v>592</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5" customHeight="1">
      <c r="A729" s="4"/>
      <c r="B729" s="1338"/>
      <c r="C729" s="1339"/>
      <c r="D729" s="1339"/>
      <c r="E729" s="1339"/>
      <c r="F729" s="1340"/>
      <c r="G729" s="1351"/>
      <c r="H729" s="1352"/>
      <c r="I729" s="1352"/>
      <c r="J729" s="1353"/>
      <c r="K729" s="1344"/>
      <c r="L729" s="1345"/>
      <c r="M729" s="1345"/>
      <c r="N729" s="1346"/>
      <c r="O729" s="1341"/>
      <c r="P729" s="1342"/>
      <c r="Q729" s="1342"/>
      <c r="R729" s="1342"/>
      <c r="S729" s="1343"/>
      <c r="T729" s="1341"/>
      <c r="U729" s="1342"/>
      <c r="V729" s="1342"/>
      <c r="W729" s="1343"/>
      <c r="X729" s="1354">
        <f t="shared" si="8"/>
        <v>0</v>
      </c>
      <c r="Y729" s="1355"/>
      <c r="Z729" s="1355"/>
      <c r="AA729" s="1355"/>
      <c r="AB729" s="1356"/>
      <c r="AC729" s="1361"/>
      <c r="AD729" s="1362"/>
      <c r="AE729" s="1362"/>
      <c r="AF729" s="1362"/>
      <c r="AG729" s="1363"/>
      <c r="AH729" s="1357" t="str">
        <f t="shared" si="36"/>
        <v/>
      </c>
      <c r="AI729" s="1358"/>
      <c r="AJ729" s="1359"/>
      <c r="AK729" s="1338" t="s">
        <v>592</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5" customHeight="1">
      <c r="B730" s="1338"/>
      <c r="C730" s="1339"/>
      <c r="D730" s="1339"/>
      <c r="E730" s="1339"/>
      <c r="F730" s="1340"/>
      <c r="G730" s="1351"/>
      <c r="H730" s="1352"/>
      <c r="I730" s="1352"/>
      <c r="J730" s="1353"/>
      <c r="K730" s="1344"/>
      <c r="L730" s="1345"/>
      <c r="M730" s="1345"/>
      <c r="N730" s="1346"/>
      <c r="O730" s="1341"/>
      <c r="P730" s="1342"/>
      <c r="Q730" s="1342"/>
      <c r="R730" s="1342"/>
      <c r="S730" s="1343"/>
      <c r="T730" s="1341"/>
      <c r="U730" s="1342"/>
      <c r="V730" s="1342"/>
      <c r="W730" s="1343"/>
      <c r="X730" s="1354">
        <f t="shared" si="8"/>
        <v>0</v>
      </c>
      <c r="Y730" s="1355"/>
      <c r="Z730" s="1355"/>
      <c r="AA730" s="1355"/>
      <c r="AB730" s="1356"/>
      <c r="AC730" s="1361"/>
      <c r="AD730" s="1362"/>
      <c r="AE730" s="1362"/>
      <c r="AF730" s="1362"/>
      <c r="AG730" s="1363"/>
      <c r="AH730" s="1357" t="str">
        <f t="shared" si="36"/>
        <v/>
      </c>
      <c r="AI730" s="1358"/>
      <c r="AJ730" s="1359"/>
      <c r="AK730" s="1338" t="s">
        <v>592</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5" customHeight="1">
      <c r="B731" s="1338"/>
      <c r="C731" s="1339"/>
      <c r="D731" s="1339"/>
      <c r="E731" s="1339"/>
      <c r="F731" s="1340"/>
      <c r="G731" s="1351"/>
      <c r="H731" s="1352"/>
      <c r="I731" s="1352"/>
      <c r="J731" s="1353"/>
      <c r="K731" s="1344"/>
      <c r="L731" s="1345"/>
      <c r="M731" s="1345"/>
      <c r="N731" s="1346"/>
      <c r="O731" s="1341"/>
      <c r="P731" s="1342"/>
      <c r="Q731" s="1342"/>
      <c r="R731" s="1342"/>
      <c r="S731" s="1343"/>
      <c r="T731" s="1341"/>
      <c r="U731" s="1342"/>
      <c r="V731" s="1342"/>
      <c r="W731" s="1343"/>
      <c r="X731" s="1354">
        <f t="shared" si="8"/>
        <v>0</v>
      </c>
      <c r="Y731" s="1355"/>
      <c r="Z731" s="1355"/>
      <c r="AA731" s="1355"/>
      <c r="AB731" s="1356"/>
      <c r="AC731" s="1361"/>
      <c r="AD731" s="1362"/>
      <c r="AE731" s="1362"/>
      <c r="AF731" s="1362"/>
      <c r="AG731" s="1363"/>
      <c r="AH731" s="1357" t="str">
        <f t="shared" si="36"/>
        <v/>
      </c>
      <c r="AI731" s="1358"/>
      <c r="AJ731" s="1359"/>
      <c r="AK731" s="1338" t="s">
        <v>592</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5" customHeight="1">
      <c r="B732" s="1338"/>
      <c r="C732" s="1339"/>
      <c r="D732" s="1339"/>
      <c r="E732" s="1339"/>
      <c r="F732" s="1340"/>
      <c r="G732" s="1351"/>
      <c r="H732" s="1352"/>
      <c r="I732" s="1352"/>
      <c r="J732" s="1353"/>
      <c r="K732" s="1344"/>
      <c r="L732" s="1345"/>
      <c r="M732" s="1345"/>
      <c r="N732" s="1346"/>
      <c r="O732" s="1341"/>
      <c r="P732" s="1342"/>
      <c r="Q732" s="1342"/>
      <c r="R732" s="1342"/>
      <c r="S732" s="1343"/>
      <c r="T732" s="1341"/>
      <c r="U732" s="1342"/>
      <c r="V732" s="1342"/>
      <c r="W732" s="1343"/>
      <c r="X732" s="1354">
        <f t="shared" si="8"/>
        <v>0</v>
      </c>
      <c r="Y732" s="1355"/>
      <c r="Z732" s="1355"/>
      <c r="AA732" s="1355"/>
      <c r="AB732" s="1356"/>
      <c r="AC732" s="1361"/>
      <c r="AD732" s="1362"/>
      <c r="AE732" s="1362"/>
      <c r="AF732" s="1362"/>
      <c r="AG732" s="1363"/>
      <c r="AH732" s="1357" t="str">
        <f t="shared" si="36"/>
        <v/>
      </c>
      <c r="AI732" s="1358"/>
      <c r="AJ732" s="1359"/>
      <c r="AK732" s="1338" t="s">
        <v>592</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5" customHeight="1">
      <c r="B733" s="1338"/>
      <c r="C733" s="1339"/>
      <c r="D733" s="1339"/>
      <c r="E733" s="1339"/>
      <c r="F733" s="1340"/>
      <c r="G733" s="1351"/>
      <c r="H733" s="1352"/>
      <c r="I733" s="1352"/>
      <c r="J733" s="1353"/>
      <c r="K733" s="1344"/>
      <c r="L733" s="1345"/>
      <c r="M733" s="1345"/>
      <c r="N733" s="1346"/>
      <c r="O733" s="1341"/>
      <c r="P733" s="1342"/>
      <c r="Q733" s="1342"/>
      <c r="R733" s="1342"/>
      <c r="S733" s="1343"/>
      <c r="T733" s="1341"/>
      <c r="U733" s="1342"/>
      <c r="V733" s="1342"/>
      <c r="W733" s="1343"/>
      <c r="X733" s="1354">
        <f t="shared" si="8"/>
        <v>0</v>
      </c>
      <c r="Y733" s="1355"/>
      <c r="Z733" s="1355"/>
      <c r="AA733" s="1355"/>
      <c r="AB733" s="1356"/>
      <c r="AC733" s="1361"/>
      <c r="AD733" s="1362"/>
      <c r="AE733" s="1362"/>
      <c r="AF733" s="1362"/>
      <c r="AG733" s="1363"/>
      <c r="AH733" s="1357" t="str">
        <f t="shared" si="36"/>
        <v/>
      </c>
      <c r="AI733" s="1358"/>
      <c r="AJ733" s="1359"/>
      <c r="AK733" s="1338" t="s">
        <v>592</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5" customHeight="1">
      <c r="B734" s="1338"/>
      <c r="C734" s="1339"/>
      <c r="D734" s="1339"/>
      <c r="E734" s="1339"/>
      <c r="F734" s="1340"/>
      <c r="G734" s="1351"/>
      <c r="H734" s="1352"/>
      <c r="I734" s="1352"/>
      <c r="J734" s="1353"/>
      <c r="K734" s="1344"/>
      <c r="L734" s="1345"/>
      <c r="M734" s="1345"/>
      <c r="N734" s="1346"/>
      <c r="O734" s="1341"/>
      <c r="P734" s="1342"/>
      <c r="Q734" s="1342"/>
      <c r="R734" s="1342"/>
      <c r="S734" s="1343"/>
      <c r="T734" s="1341"/>
      <c r="U734" s="1342"/>
      <c r="V734" s="1342"/>
      <c r="W734" s="1343"/>
      <c r="X734" s="1354">
        <f t="shared" si="8"/>
        <v>0</v>
      </c>
      <c r="Y734" s="1355"/>
      <c r="Z734" s="1355"/>
      <c r="AA734" s="1355"/>
      <c r="AB734" s="1356"/>
      <c r="AC734" s="1361"/>
      <c r="AD734" s="1362"/>
      <c r="AE734" s="1362"/>
      <c r="AF734" s="1362"/>
      <c r="AG734" s="1363"/>
      <c r="AH734" s="1357" t="str">
        <f t="shared" si="36"/>
        <v/>
      </c>
      <c r="AI734" s="1358"/>
      <c r="AJ734" s="1359"/>
      <c r="AK734" s="1338" t="s">
        <v>592</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5" customHeight="1">
      <c r="B735" s="1338"/>
      <c r="C735" s="1339"/>
      <c r="D735" s="1339"/>
      <c r="E735" s="1339"/>
      <c r="F735" s="1340"/>
      <c r="G735" s="1351"/>
      <c r="H735" s="1352"/>
      <c r="I735" s="1352"/>
      <c r="J735" s="1353"/>
      <c r="K735" s="1344"/>
      <c r="L735" s="1345"/>
      <c r="M735" s="1345"/>
      <c r="N735" s="1346"/>
      <c r="O735" s="1341"/>
      <c r="P735" s="1342"/>
      <c r="Q735" s="1342"/>
      <c r="R735" s="1342"/>
      <c r="S735" s="1343"/>
      <c r="T735" s="1341"/>
      <c r="U735" s="1342"/>
      <c r="V735" s="1342"/>
      <c r="W735" s="1343"/>
      <c r="X735" s="1354">
        <f t="shared" si="8"/>
        <v>0</v>
      </c>
      <c r="Y735" s="1355"/>
      <c r="Z735" s="1355"/>
      <c r="AA735" s="1355"/>
      <c r="AB735" s="1356"/>
      <c r="AC735" s="1361"/>
      <c r="AD735" s="1362"/>
      <c r="AE735" s="1362"/>
      <c r="AF735" s="1362"/>
      <c r="AG735" s="1363"/>
      <c r="AH735" s="1357" t="str">
        <f t="shared" si="36"/>
        <v/>
      </c>
      <c r="AI735" s="1358"/>
      <c r="AJ735" s="1359"/>
      <c r="AK735" s="1338" t="s">
        <v>592</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5" customHeight="1">
      <c r="B736" s="1338"/>
      <c r="C736" s="1339"/>
      <c r="D736" s="1339"/>
      <c r="E736" s="1339"/>
      <c r="F736" s="1340"/>
      <c r="G736" s="1351"/>
      <c r="H736" s="1352"/>
      <c r="I736" s="1352"/>
      <c r="J736" s="1353"/>
      <c r="K736" s="1344"/>
      <c r="L736" s="1345"/>
      <c r="M736" s="1345"/>
      <c r="N736" s="1346"/>
      <c r="O736" s="1341"/>
      <c r="P736" s="1342"/>
      <c r="Q736" s="1342"/>
      <c r="R736" s="1342"/>
      <c r="S736" s="1343"/>
      <c r="T736" s="1341"/>
      <c r="U736" s="1342"/>
      <c r="V736" s="1342"/>
      <c r="W736" s="1343"/>
      <c r="X736" s="1354">
        <f t="shared" si="8"/>
        <v>0</v>
      </c>
      <c r="Y736" s="1355"/>
      <c r="Z736" s="1355"/>
      <c r="AA736" s="1355"/>
      <c r="AB736" s="1356"/>
      <c r="AC736" s="1361"/>
      <c r="AD736" s="1362"/>
      <c r="AE736" s="1362"/>
      <c r="AF736" s="1362"/>
      <c r="AG736" s="1363"/>
      <c r="AH736" s="1357" t="str">
        <f t="shared" si="36"/>
        <v/>
      </c>
      <c r="AI736" s="1358"/>
      <c r="AJ736" s="1359"/>
      <c r="AK736" s="1338" t="s">
        <v>592</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5" customHeight="1">
      <c r="B737" s="1338"/>
      <c r="C737" s="1339"/>
      <c r="D737" s="1339"/>
      <c r="E737" s="1339"/>
      <c r="F737" s="1340"/>
      <c r="G737" s="1351"/>
      <c r="H737" s="1352"/>
      <c r="I737" s="1352"/>
      <c r="J737" s="1353"/>
      <c r="K737" s="1344"/>
      <c r="L737" s="1345"/>
      <c r="M737" s="1345"/>
      <c r="N737" s="1346"/>
      <c r="O737" s="1341"/>
      <c r="P737" s="1342"/>
      <c r="Q737" s="1342"/>
      <c r="R737" s="1342"/>
      <c r="S737" s="1343"/>
      <c r="T737" s="1341"/>
      <c r="U737" s="1342"/>
      <c r="V737" s="1342"/>
      <c r="W737" s="1343"/>
      <c r="X737" s="1354">
        <f t="shared" si="8"/>
        <v>0</v>
      </c>
      <c r="Y737" s="1355"/>
      <c r="Z737" s="1355"/>
      <c r="AA737" s="1355"/>
      <c r="AB737" s="1356"/>
      <c r="AC737" s="1361"/>
      <c r="AD737" s="1362"/>
      <c r="AE737" s="1362"/>
      <c r="AF737" s="1362"/>
      <c r="AG737" s="1363"/>
      <c r="AH737" s="1357" t="str">
        <f t="shared" si="36"/>
        <v/>
      </c>
      <c r="AI737" s="1358"/>
      <c r="AJ737" s="1359"/>
      <c r="AK737" s="1338" t="s">
        <v>592</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5" customHeight="1">
      <c r="B738" s="1338"/>
      <c r="C738" s="1339"/>
      <c r="D738" s="1339"/>
      <c r="E738" s="1339"/>
      <c r="F738" s="1340"/>
      <c r="G738" s="1351"/>
      <c r="H738" s="1352"/>
      <c r="I738" s="1352"/>
      <c r="J738" s="1353"/>
      <c r="K738" s="1344"/>
      <c r="L738" s="1345"/>
      <c r="M738" s="1345"/>
      <c r="N738" s="1346"/>
      <c r="O738" s="1341"/>
      <c r="P738" s="1342"/>
      <c r="Q738" s="1342"/>
      <c r="R738" s="1342"/>
      <c r="S738" s="1343"/>
      <c r="T738" s="1341"/>
      <c r="U738" s="1342"/>
      <c r="V738" s="1342"/>
      <c r="W738" s="1343"/>
      <c r="X738" s="1354">
        <f t="shared" si="8"/>
        <v>0</v>
      </c>
      <c r="Y738" s="1355"/>
      <c r="Z738" s="1355"/>
      <c r="AA738" s="1355"/>
      <c r="AB738" s="1356"/>
      <c r="AC738" s="1361"/>
      <c r="AD738" s="1362"/>
      <c r="AE738" s="1362"/>
      <c r="AF738" s="1362"/>
      <c r="AG738" s="1363"/>
      <c r="AH738" s="1357" t="str">
        <f t="shared" si="36"/>
        <v/>
      </c>
      <c r="AI738" s="1358"/>
      <c r="AJ738" s="1359"/>
      <c r="AK738" s="1338" t="s">
        <v>592</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5" customHeight="1">
      <c r="B739" s="1338"/>
      <c r="C739" s="1339"/>
      <c r="D739" s="1339"/>
      <c r="E739" s="1339"/>
      <c r="F739" s="1340"/>
      <c r="G739" s="1351"/>
      <c r="H739" s="1352"/>
      <c r="I739" s="1352"/>
      <c r="J739" s="1353"/>
      <c r="K739" s="1344"/>
      <c r="L739" s="1345"/>
      <c r="M739" s="1345"/>
      <c r="N739" s="1346"/>
      <c r="O739" s="1341"/>
      <c r="P739" s="1342"/>
      <c r="Q739" s="1342"/>
      <c r="R739" s="1342"/>
      <c r="S739" s="1343"/>
      <c r="T739" s="1341"/>
      <c r="U739" s="1342"/>
      <c r="V739" s="1342"/>
      <c r="W739" s="1343"/>
      <c r="X739" s="1354">
        <f t="shared" si="8"/>
        <v>0</v>
      </c>
      <c r="Y739" s="1355"/>
      <c r="Z739" s="1355"/>
      <c r="AA739" s="1355"/>
      <c r="AB739" s="1356"/>
      <c r="AC739" s="1361"/>
      <c r="AD739" s="1362"/>
      <c r="AE739" s="1362"/>
      <c r="AF739" s="1362"/>
      <c r="AG739" s="1363"/>
      <c r="AH739" s="1357" t="str">
        <f t="shared" si="36"/>
        <v/>
      </c>
      <c r="AI739" s="1358"/>
      <c r="AJ739" s="1359"/>
      <c r="AK739" s="1338" t="s">
        <v>592</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5" customHeight="1">
      <c r="B740" s="1338"/>
      <c r="C740" s="1339"/>
      <c r="D740" s="1339"/>
      <c r="E740" s="1339"/>
      <c r="F740" s="1340"/>
      <c r="G740" s="1351"/>
      <c r="H740" s="1352"/>
      <c r="I740" s="1352"/>
      <c r="J740" s="1353"/>
      <c r="K740" s="1344"/>
      <c r="L740" s="1345"/>
      <c r="M740" s="1345"/>
      <c r="N740" s="1346"/>
      <c r="O740" s="1341"/>
      <c r="P740" s="1342"/>
      <c r="Q740" s="1342"/>
      <c r="R740" s="1342"/>
      <c r="S740" s="1343"/>
      <c r="T740" s="1341"/>
      <c r="U740" s="1342"/>
      <c r="V740" s="1342"/>
      <c r="W740" s="1343"/>
      <c r="X740" s="1354">
        <f t="shared" si="8"/>
        <v>0</v>
      </c>
      <c r="Y740" s="1355"/>
      <c r="Z740" s="1355"/>
      <c r="AA740" s="1355"/>
      <c r="AB740" s="1356"/>
      <c r="AC740" s="1361"/>
      <c r="AD740" s="1362"/>
      <c r="AE740" s="1362"/>
      <c r="AF740" s="1362"/>
      <c r="AG740" s="1363"/>
      <c r="AH740" s="1357" t="str">
        <f t="shared" si="36"/>
        <v/>
      </c>
      <c r="AI740" s="1358"/>
      <c r="AJ740" s="1359"/>
      <c r="AK740" s="1338" t="s">
        <v>592</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5" customHeight="1">
      <c r="B741" s="1338"/>
      <c r="C741" s="1339"/>
      <c r="D741" s="1339"/>
      <c r="E741" s="1339"/>
      <c r="F741" s="1340"/>
      <c r="G741" s="1351"/>
      <c r="H741" s="1352"/>
      <c r="I741" s="1352"/>
      <c r="J741" s="1353"/>
      <c r="K741" s="1344"/>
      <c r="L741" s="1345"/>
      <c r="M741" s="1345"/>
      <c r="N741" s="1346"/>
      <c r="O741" s="1341"/>
      <c r="P741" s="1342"/>
      <c r="Q741" s="1342"/>
      <c r="R741" s="1342"/>
      <c r="S741" s="1343"/>
      <c r="T741" s="1341"/>
      <c r="U741" s="1342"/>
      <c r="V741" s="1342"/>
      <c r="W741" s="1343"/>
      <c r="X741" s="1354">
        <f t="shared" si="8"/>
        <v>0</v>
      </c>
      <c r="Y741" s="1355"/>
      <c r="Z741" s="1355"/>
      <c r="AA741" s="1355"/>
      <c r="AB741" s="1356"/>
      <c r="AC741" s="1361"/>
      <c r="AD741" s="1362"/>
      <c r="AE741" s="1362"/>
      <c r="AF741" s="1362"/>
      <c r="AG741" s="1363"/>
      <c r="AH741" s="1357" t="str">
        <f t="shared" si="36"/>
        <v/>
      </c>
      <c r="AI741" s="1358"/>
      <c r="AJ741" s="1359"/>
      <c r="AK741" s="1338" t="s">
        <v>592</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5" customHeight="1">
      <c r="B742" s="1338"/>
      <c r="C742" s="1339"/>
      <c r="D742" s="1339"/>
      <c r="E742" s="1339"/>
      <c r="F742" s="1340"/>
      <c r="G742" s="1351"/>
      <c r="H742" s="1352"/>
      <c r="I742" s="1352"/>
      <c r="J742" s="1353"/>
      <c r="K742" s="1344"/>
      <c r="L742" s="1345"/>
      <c r="M742" s="1345"/>
      <c r="N742" s="1346"/>
      <c r="O742" s="1341"/>
      <c r="P742" s="1342"/>
      <c r="Q742" s="1342"/>
      <c r="R742" s="1342"/>
      <c r="S742" s="1343"/>
      <c r="T742" s="1341"/>
      <c r="U742" s="1342"/>
      <c r="V742" s="1342"/>
      <c r="W742" s="1343"/>
      <c r="X742" s="1354">
        <f t="shared" ref="X742:X751" si="39">O742+T742</f>
        <v>0</v>
      </c>
      <c r="Y742" s="1355"/>
      <c r="Z742" s="1355"/>
      <c r="AA742" s="1355"/>
      <c r="AB742" s="1356"/>
      <c r="AC742" s="1361"/>
      <c r="AD742" s="1362"/>
      <c r="AE742" s="1362"/>
      <c r="AF742" s="1362"/>
      <c r="AG742" s="1363"/>
      <c r="AH742" s="1357" t="str">
        <f t="shared" si="36"/>
        <v/>
      </c>
      <c r="AI742" s="1358"/>
      <c r="AJ742" s="1359"/>
      <c r="AK742" s="1338" t="s">
        <v>592</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5" customHeight="1">
      <c r="A743"/>
      <c r="B743" s="1338"/>
      <c r="C743" s="1339"/>
      <c r="D743" s="1339"/>
      <c r="E743" s="1339"/>
      <c r="F743" s="1340"/>
      <c r="G743" s="1351"/>
      <c r="H743" s="1352"/>
      <c r="I743" s="1352"/>
      <c r="J743" s="1353"/>
      <c r="K743" s="1344"/>
      <c r="L743" s="1345"/>
      <c r="M743" s="1345"/>
      <c r="N743" s="1346"/>
      <c r="O743" s="1341"/>
      <c r="P743" s="1342"/>
      <c r="Q743" s="1342"/>
      <c r="R743" s="1342"/>
      <c r="S743" s="1343"/>
      <c r="T743" s="1341"/>
      <c r="U743" s="1342"/>
      <c r="V743" s="1342"/>
      <c r="W743" s="1343"/>
      <c r="X743" s="1354">
        <f t="shared" si="39"/>
        <v>0</v>
      </c>
      <c r="Y743" s="1355"/>
      <c r="Z743" s="1355"/>
      <c r="AA743" s="1355"/>
      <c r="AB743" s="1356"/>
      <c r="AC743" s="1361"/>
      <c r="AD743" s="1362"/>
      <c r="AE743" s="1362"/>
      <c r="AF743" s="1362"/>
      <c r="AG743" s="1363"/>
      <c r="AH743" s="1357" t="str">
        <f t="shared" si="36"/>
        <v/>
      </c>
      <c r="AI743" s="1358"/>
      <c r="AJ743" s="1359"/>
      <c r="AK743" s="1338" t="s">
        <v>592</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5" customHeight="1">
      <c r="B744" s="1338"/>
      <c r="C744" s="1339"/>
      <c r="D744" s="1339"/>
      <c r="E744" s="1339"/>
      <c r="F744" s="1340"/>
      <c r="G744" s="1351"/>
      <c r="H744" s="1352"/>
      <c r="I744" s="1352"/>
      <c r="J744" s="1353"/>
      <c r="K744" s="1344"/>
      <c r="L744" s="1345"/>
      <c r="M744" s="1345"/>
      <c r="N744" s="1346"/>
      <c r="O744" s="1341"/>
      <c r="P744" s="1342"/>
      <c r="Q744" s="1342"/>
      <c r="R744" s="1342"/>
      <c r="S744" s="1343"/>
      <c r="T744" s="1341"/>
      <c r="U744" s="1342"/>
      <c r="V744" s="1342"/>
      <c r="W744" s="1343"/>
      <c r="X744" s="1354">
        <f t="shared" si="39"/>
        <v>0</v>
      </c>
      <c r="Y744" s="1355"/>
      <c r="Z744" s="1355"/>
      <c r="AA744" s="1355"/>
      <c r="AB744" s="1356"/>
      <c r="AC744" s="1361"/>
      <c r="AD744" s="1362"/>
      <c r="AE744" s="1362"/>
      <c r="AF744" s="1362"/>
      <c r="AG744" s="1363"/>
      <c r="AH744" s="1357" t="str">
        <f t="shared" si="36"/>
        <v/>
      </c>
      <c r="AI744" s="1358"/>
      <c r="AJ744" s="1359"/>
      <c r="AK744" s="1338" t="s">
        <v>592</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5" customHeight="1">
      <c r="B745" s="1338"/>
      <c r="C745" s="1339"/>
      <c r="D745" s="1339"/>
      <c r="E745" s="1339"/>
      <c r="F745" s="1340"/>
      <c r="G745" s="1351"/>
      <c r="H745" s="1352"/>
      <c r="I745" s="1352"/>
      <c r="J745" s="1353"/>
      <c r="K745" s="1344"/>
      <c r="L745" s="1345"/>
      <c r="M745" s="1345"/>
      <c r="N745" s="1346"/>
      <c r="O745" s="1341"/>
      <c r="P745" s="1342"/>
      <c r="Q745" s="1342"/>
      <c r="R745" s="1342"/>
      <c r="S745" s="1343"/>
      <c r="T745" s="1341"/>
      <c r="U745" s="1342"/>
      <c r="V745" s="1342"/>
      <c r="W745" s="1343"/>
      <c r="X745" s="1354">
        <f t="shared" si="39"/>
        <v>0</v>
      </c>
      <c r="Y745" s="1355"/>
      <c r="Z745" s="1355"/>
      <c r="AA745" s="1355"/>
      <c r="AB745" s="1356"/>
      <c r="AC745" s="1361"/>
      <c r="AD745" s="1362"/>
      <c r="AE745" s="1362"/>
      <c r="AF745" s="1362"/>
      <c r="AG745" s="1363"/>
      <c r="AH745" s="1357" t="str">
        <f t="shared" si="36"/>
        <v/>
      </c>
      <c r="AI745" s="1358"/>
      <c r="AJ745" s="1359"/>
      <c r="AK745" s="1338" t="s">
        <v>592</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5" customHeight="1">
      <c r="B746" s="1338"/>
      <c r="C746" s="1339"/>
      <c r="D746" s="1339"/>
      <c r="E746" s="1339"/>
      <c r="F746" s="1340"/>
      <c r="G746" s="1351"/>
      <c r="H746" s="1352"/>
      <c r="I746" s="1352"/>
      <c r="J746" s="1353"/>
      <c r="K746" s="1344"/>
      <c r="L746" s="1345"/>
      <c r="M746" s="1345"/>
      <c r="N746" s="1346"/>
      <c r="O746" s="1341"/>
      <c r="P746" s="1342"/>
      <c r="Q746" s="1342"/>
      <c r="R746" s="1342"/>
      <c r="S746" s="1343"/>
      <c r="T746" s="1341"/>
      <c r="U746" s="1342"/>
      <c r="V746" s="1342"/>
      <c r="W746" s="1343"/>
      <c r="X746" s="1354">
        <f t="shared" si="39"/>
        <v>0</v>
      </c>
      <c r="Y746" s="1355"/>
      <c r="Z746" s="1355"/>
      <c r="AA746" s="1355"/>
      <c r="AB746" s="1356"/>
      <c r="AC746" s="1361"/>
      <c r="AD746" s="1362"/>
      <c r="AE746" s="1362"/>
      <c r="AF746" s="1362"/>
      <c r="AG746" s="1363"/>
      <c r="AH746" s="1357" t="str">
        <f t="shared" si="36"/>
        <v/>
      </c>
      <c r="AI746" s="1358"/>
      <c r="AJ746" s="1359"/>
      <c r="AK746" s="1338" t="s">
        <v>592</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5" customHeight="1">
      <c r="B747" s="1338"/>
      <c r="C747" s="1339"/>
      <c r="D747" s="1339"/>
      <c r="E747" s="1339"/>
      <c r="F747" s="1340"/>
      <c r="G747" s="1351"/>
      <c r="H747" s="1352"/>
      <c r="I747" s="1352"/>
      <c r="J747" s="1353"/>
      <c r="K747" s="1344"/>
      <c r="L747" s="1345"/>
      <c r="M747" s="1345"/>
      <c r="N747" s="1346"/>
      <c r="O747" s="1341"/>
      <c r="P747" s="1342"/>
      <c r="Q747" s="1342"/>
      <c r="R747" s="1342"/>
      <c r="S747" s="1343"/>
      <c r="T747" s="1341"/>
      <c r="U747" s="1342"/>
      <c r="V747" s="1342"/>
      <c r="W747" s="1343"/>
      <c r="X747" s="1354">
        <f t="shared" si="39"/>
        <v>0</v>
      </c>
      <c r="Y747" s="1355"/>
      <c r="Z747" s="1355"/>
      <c r="AA747" s="1355"/>
      <c r="AB747" s="1356"/>
      <c r="AC747" s="1361"/>
      <c r="AD747" s="1362"/>
      <c r="AE747" s="1362"/>
      <c r="AF747" s="1362"/>
      <c r="AG747" s="1363"/>
      <c r="AH747" s="1357" t="str">
        <f t="shared" si="36"/>
        <v/>
      </c>
      <c r="AI747" s="1358"/>
      <c r="AJ747" s="1359"/>
      <c r="AK747" s="1338" t="s">
        <v>592</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5" customHeight="1">
      <c r="A748"/>
      <c r="B748" s="1338"/>
      <c r="C748" s="1339"/>
      <c r="D748" s="1339"/>
      <c r="E748" s="1339"/>
      <c r="F748" s="1340"/>
      <c r="G748" s="1351"/>
      <c r="H748" s="1352"/>
      <c r="I748" s="1352"/>
      <c r="J748" s="1353"/>
      <c r="K748" s="1344"/>
      <c r="L748" s="1345"/>
      <c r="M748" s="1345"/>
      <c r="N748" s="1346"/>
      <c r="O748" s="1341"/>
      <c r="P748" s="1342"/>
      <c r="Q748" s="1342"/>
      <c r="R748" s="1342"/>
      <c r="S748" s="1343"/>
      <c r="T748" s="1341"/>
      <c r="U748" s="1342"/>
      <c r="V748" s="1342"/>
      <c r="W748" s="1343"/>
      <c r="X748" s="1354">
        <f t="shared" si="39"/>
        <v>0</v>
      </c>
      <c r="Y748" s="1355"/>
      <c r="Z748" s="1355"/>
      <c r="AA748" s="1355"/>
      <c r="AB748" s="1356"/>
      <c r="AC748" s="1361"/>
      <c r="AD748" s="1362"/>
      <c r="AE748" s="1362"/>
      <c r="AF748" s="1362"/>
      <c r="AG748" s="1363"/>
      <c r="AH748" s="1357" t="str">
        <f t="shared" si="36"/>
        <v/>
      </c>
      <c r="AI748" s="1358"/>
      <c r="AJ748" s="1359"/>
      <c r="AK748" s="1338" t="s">
        <v>592</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5" customHeight="1">
      <c r="A749"/>
      <c r="B749" s="1338"/>
      <c r="C749" s="1339"/>
      <c r="D749" s="1339"/>
      <c r="E749" s="1339"/>
      <c r="F749" s="1340"/>
      <c r="G749" s="1351"/>
      <c r="H749" s="1352"/>
      <c r="I749" s="1352"/>
      <c r="J749" s="1353"/>
      <c r="K749" s="1344"/>
      <c r="L749" s="1345"/>
      <c r="M749" s="1345"/>
      <c r="N749" s="1346"/>
      <c r="O749" s="1341"/>
      <c r="P749" s="1342"/>
      <c r="Q749" s="1342"/>
      <c r="R749" s="1342"/>
      <c r="S749" s="1343"/>
      <c r="T749" s="1341"/>
      <c r="U749" s="1342"/>
      <c r="V749" s="1342"/>
      <c r="W749" s="1343"/>
      <c r="X749" s="1354">
        <f t="shared" si="39"/>
        <v>0</v>
      </c>
      <c r="Y749" s="1355"/>
      <c r="Z749" s="1355"/>
      <c r="AA749" s="1355"/>
      <c r="AB749" s="1356"/>
      <c r="AC749" s="1361"/>
      <c r="AD749" s="1362"/>
      <c r="AE749" s="1362"/>
      <c r="AF749" s="1362"/>
      <c r="AG749" s="1363"/>
      <c r="AH749" s="1357" t="str">
        <f t="shared" si="36"/>
        <v/>
      </c>
      <c r="AI749" s="1358"/>
      <c r="AJ749" s="1359"/>
      <c r="AK749" s="1338" t="s">
        <v>592</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5" customHeight="1">
      <c r="A750"/>
      <c r="B750" s="1338"/>
      <c r="C750" s="1339"/>
      <c r="D750" s="1339"/>
      <c r="E750" s="1339"/>
      <c r="F750" s="1340"/>
      <c r="G750" s="1351"/>
      <c r="H750" s="1352"/>
      <c r="I750" s="1352"/>
      <c r="J750" s="1353"/>
      <c r="K750" s="1344"/>
      <c r="L750" s="1345"/>
      <c r="M750" s="1345"/>
      <c r="N750" s="1346"/>
      <c r="O750" s="1341"/>
      <c r="P750" s="1342"/>
      <c r="Q750" s="1342"/>
      <c r="R750" s="1342"/>
      <c r="S750" s="1343"/>
      <c r="T750" s="1341"/>
      <c r="U750" s="1342"/>
      <c r="V750" s="1342"/>
      <c r="W750" s="1343"/>
      <c r="X750" s="1354">
        <f t="shared" si="39"/>
        <v>0</v>
      </c>
      <c r="Y750" s="1355"/>
      <c r="Z750" s="1355"/>
      <c r="AA750" s="1355"/>
      <c r="AB750" s="1356"/>
      <c r="AC750" s="1361"/>
      <c r="AD750" s="1362"/>
      <c r="AE750" s="1362"/>
      <c r="AF750" s="1362"/>
      <c r="AG750" s="1363"/>
      <c r="AH750" s="1357" t="str">
        <f t="shared" si="36"/>
        <v/>
      </c>
      <c r="AI750" s="1358"/>
      <c r="AJ750" s="1359"/>
      <c r="AK750" s="1338" t="s">
        <v>592</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5" customHeight="1">
      <c r="A751"/>
      <c r="B751" s="1338"/>
      <c r="C751" s="1339"/>
      <c r="D751" s="1339"/>
      <c r="E751" s="1339"/>
      <c r="F751" s="1340"/>
      <c r="G751" s="1351"/>
      <c r="H751" s="1352"/>
      <c r="I751" s="1352"/>
      <c r="J751" s="1353"/>
      <c r="K751" s="1344"/>
      <c r="L751" s="1345"/>
      <c r="M751" s="1345"/>
      <c r="N751" s="1346"/>
      <c r="O751" s="1341"/>
      <c r="P751" s="1342"/>
      <c r="Q751" s="1342"/>
      <c r="R751" s="1342"/>
      <c r="S751" s="1343"/>
      <c r="T751" s="1341"/>
      <c r="U751" s="1342"/>
      <c r="V751" s="1342"/>
      <c r="W751" s="1343"/>
      <c r="X751" s="1354">
        <f t="shared" si="39"/>
        <v>0</v>
      </c>
      <c r="Y751" s="1355"/>
      <c r="Z751" s="1355"/>
      <c r="AA751" s="1355"/>
      <c r="AB751" s="1356"/>
      <c r="AC751" s="1361"/>
      <c r="AD751" s="1362"/>
      <c r="AE751" s="1362"/>
      <c r="AF751" s="1362"/>
      <c r="AG751" s="1363"/>
      <c r="AH751" s="1357" t="str">
        <f t="shared" si="36"/>
        <v/>
      </c>
      <c r="AI751" s="1358"/>
      <c r="AJ751" s="1359"/>
      <c r="AK751" s="1338" t="s">
        <v>592</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5" customHeight="1">
      <c r="A752"/>
      <c r="B752" s="1338"/>
      <c r="C752" s="1339"/>
      <c r="D752" s="1339"/>
      <c r="E752" s="1339"/>
      <c r="F752" s="1340"/>
      <c r="G752" s="1351"/>
      <c r="H752" s="1352"/>
      <c r="I752" s="1352"/>
      <c r="J752" s="1353"/>
      <c r="K752" s="1344"/>
      <c r="L752" s="1345"/>
      <c r="M752" s="1345"/>
      <c r="N752" s="1346"/>
      <c r="O752" s="1341"/>
      <c r="P752" s="1342"/>
      <c r="Q752" s="1342"/>
      <c r="R752" s="1342"/>
      <c r="S752" s="1343"/>
      <c r="T752" s="1341"/>
      <c r="U752" s="1342"/>
      <c r="V752" s="1342"/>
      <c r="W752" s="1343"/>
      <c r="X752" s="1354">
        <f>O752+T752</f>
        <v>0</v>
      </c>
      <c r="Y752" s="1355"/>
      <c r="Z752" s="1355"/>
      <c r="AA752" s="1355"/>
      <c r="AB752" s="1356"/>
      <c r="AC752" s="1361"/>
      <c r="AD752" s="1362"/>
      <c r="AE752" s="1362"/>
      <c r="AF752" s="1362"/>
      <c r="AG752" s="1363"/>
      <c r="AH752" s="1357" t="str">
        <f t="shared" si="36"/>
        <v/>
      </c>
      <c r="AI752" s="1358"/>
      <c r="AJ752" s="1359"/>
      <c r="AK752" s="1338" t="s">
        <v>592</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5" customHeight="1">
      <c r="A753"/>
      <c r="B753" s="1450" t="s">
        <v>125</v>
      </c>
      <c r="C753" s="1451"/>
      <c r="D753" s="1451"/>
      <c r="E753" s="1451"/>
      <c r="F753" s="1452"/>
      <c r="G753" s="1622">
        <f>SUM(G718:G752)</f>
        <v>158</v>
      </c>
      <c r="H753" s="1623"/>
      <c r="I753" s="1623"/>
      <c r="J753" s="1624"/>
      <c r="K753" s="902" t="s">
        <v>124</v>
      </c>
      <c r="L753" s="5"/>
      <c r="M753" s="5"/>
      <c r="N753" s="46"/>
      <c r="O753" s="1354">
        <f>SUMPRODUCT(G718:G752,O718:O752)</f>
        <v>305610</v>
      </c>
      <c r="P753" s="1355"/>
      <c r="Q753" s="1355"/>
      <c r="R753" s="1355"/>
      <c r="S753" s="1356"/>
      <c r="T753"/>
      <c r="U753"/>
      <c r="V753"/>
      <c r="W753"/>
      <c r="X753" s="904" t="s">
        <v>901</v>
      </c>
      <c r="Y753" s="903"/>
      <c r="Z753" s="903"/>
      <c r="AA753" s="903"/>
      <c r="AB753" s="905"/>
      <c r="AC753" s="1605">
        <f>BH753</f>
        <v>0.56329113924050622</v>
      </c>
      <c r="AD753" s="1606"/>
      <c r="AE753" s="1606"/>
      <c r="AF753" s="1606"/>
      <c r="AG753" s="1607"/>
      <c r="AH753" s="1605">
        <f>IFERROR(BU753,"")</f>
        <v>0.56331361573969962</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158</v>
      </c>
      <c r="BG753" s="300">
        <f>SUM(BG718:BG752)</f>
        <v>0.99999999999999989</v>
      </c>
      <c r="BH753" s="300">
        <f>SUM(BH718:BH752)</f>
        <v>0.56329113924050622</v>
      </c>
      <c r="BI753"/>
      <c r="BJ753"/>
      <c r="BK753"/>
      <c r="BL753"/>
      <c r="BO753"/>
      <c r="BP753"/>
      <c r="BQ753"/>
      <c r="BR753"/>
      <c r="BS753" s="859">
        <f>SUM(BS718:BS752)</f>
        <v>158</v>
      </c>
      <c r="BT753" s="300">
        <f>SUM(BT718:BT752)</f>
        <v>0.99999999999999989</v>
      </c>
      <c r="BU753" s="300">
        <f>SUM(BU718:BU752)</f>
        <v>0.56331361573969962</v>
      </c>
      <c r="CI753" s="1465">
        <f>SUM(CI718:CJ752)</f>
        <v>15</v>
      </c>
      <c r="CJ753" s="1466"/>
      <c r="CM753" s="1465">
        <f>SUM(CM718:CN752)</f>
        <v>35</v>
      </c>
      <c r="CN753" s="1466"/>
      <c r="CP753" s="1465">
        <f>SUM(CP718:CT752)</f>
        <v>0</v>
      </c>
      <c r="CQ753" s="1467"/>
      <c r="CR753" s="1467"/>
      <c r="CS753" s="1467"/>
      <c r="CT753" s="1466"/>
      <c r="CU753" s="1463">
        <f>SUM(CU718:CY752)</f>
        <v>31</v>
      </c>
      <c r="CV753" s="1463"/>
      <c r="CW753" s="1463"/>
      <c r="CX753" s="1463"/>
      <c r="CY753" s="1463"/>
      <c r="CZ753" s="1463">
        <f>SUM(CZ718:DD752)</f>
        <v>80</v>
      </c>
      <c r="DA753" s="1463"/>
      <c r="DB753" s="1463"/>
      <c r="DC753" s="1463"/>
      <c r="DD753" s="1463"/>
      <c r="DE753" s="1463">
        <f>SUM(DE718:DI752)</f>
        <v>47</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20</v>
      </c>
      <c r="EA753" s="1463"/>
      <c r="EB753" s="1463"/>
      <c r="EC753" s="1463"/>
      <c r="ED753" s="1463"/>
      <c r="EE753" s="1463">
        <f>SUM(EE718:EI752)</f>
        <v>10</v>
      </c>
      <c r="EF753" s="1463"/>
      <c r="EG753" s="1463"/>
      <c r="EH753" s="1463"/>
      <c r="EI753" s="1463"/>
      <c r="EJ753" s="1463">
        <f>SUM(EJ718:EN752)</f>
        <v>5</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2496</v>
      </c>
      <c r="FF753" s="1463"/>
      <c r="FG753" s="1463"/>
      <c r="FH753" s="1463"/>
      <c r="FI753" s="1463"/>
      <c r="FJ753" s="1463">
        <f>SUM(FJ718:FN752)</f>
        <v>6999</v>
      </c>
      <c r="FK753" s="1463"/>
      <c r="FL753" s="1463"/>
      <c r="FM753" s="1463"/>
      <c r="FN753" s="1463"/>
      <c r="FO753" s="1463">
        <f>SUM(FO718:FS752)</f>
        <v>5759</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5">
        <f>CP753+CU753+CZ753+DE753+DJ753+DO753</f>
        <v>158</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31</v>
      </c>
      <c r="CZ755" s="3"/>
      <c r="DA755" s="3"/>
      <c r="DB755" s="3"/>
      <c r="DC755" s="3"/>
      <c r="DD755" s="861">
        <f>CZ753*2</f>
        <v>160</v>
      </c>
      <c r="DE755" s="3"/>
      <c r="DF755" s="3"/>
      <c r="DG755" s="3"/>
      <c r="DH755" s="3"/>
      <c r="DI755" s="861">
        <f>DE753*3</f>
        <v>141</v>
      </c>
      <c r="DJ755" s="3"/>
      <c r="DK755" s="3"/>
      <c r="DL755" s="3"/>
      <c r="DM755" s="3"/>
      <c r="DN755" s="861">
        <f>DJ753*4</f>
        <v>0</v>
      </c>
      <c r="DO755" s="3"/>
      <c r="DP755" s="3"/>
      <c r="DQ755" s="3"/>
      <c r="DR755" s="3"/>
      <c r="DS755" s="861">
        <f>DO753*5</f>
        <v>0</v>
      </c>
      <c r="DU755" s="861">
        <f>CT755+CY755+DD755+DI755+DN755+DS755</f>
        <v>332</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3">
        <f>DU755</f>
        <v>332</v>
      </c>
      <c r="P756" s="1463"/>
      <c r="Q756" s="1463"/>
      <c r="R756" s="1463"/>
      <c r="S756" s="969"/>
      <c r="T756" s="969"/>
      <c r="U756" s="118" t="s">
        <v>1894</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4" t="s">
        <v>389</v>
      </c>
      <c r="K769" s="1365"/>
      <c r="L769" s="1365"/>
      <c r="M769" s="1365"/>
      <c r="N769" s="1366"/>
      <c r="O769" s="1620" t="s">
        <v>285</v>
      </c>
      <c r="P769" s="1620"/>
      <c r="Q769" s="1620"/>
      <c r="R769" s="1620"/>
      <c r="S769" s="1620"/>
      <c r="T769" s="1720" t="s">
        <v>1680</v>
      </c>
      <c r="U769" s="1721"/>
      <c r="V769" s="1721"/>
      <c r="W769" s="1722"/>
      <c r="X769" s="1364" t="s">
        <v>448</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7"/>
      <c r="K770" s="1368"/>
      <c r="L770" s="1368"/>
      <c r="M770" s="1368"/>
      <c r="N770" s="1369"/>
      <c r="O770" s="1620"/>
      <c r="P770" s="1620"/>
      <c r="Q770" s="1620"/>
      <c r="R770" s="1620"/>
      <c r="S770" s="1620"/>
      <c r="T770" s="1723"/>
      <c r="U770" s="1724"/>
      <c r="V770" s="1724"/>
      <c r="W770" s="1725"/>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7"/>
      <c r="K771" s="1368"/>
      <c r="L771" s="1368"/>
      <c r="M771" s="1368"/>
      <c r="N771" s="1369"/>
      <c r="O771" s="1620"/>
      <c r="P771" s="1620"/>
      <c r="Q771" s="1620"/>
      <c r="R771" s="1620"/>
      <c r="S771" s="1620"/>
      <c r="T771" s="1723"/>
      <c r="U771" s="1724"/>
      <c r="V771" s="1724"/>
      <c r="W771" s="1725"/>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0"/>
      <c r="K772" s="1371"/>
      <c r="L772" s="1371"/>
      <c r="M772" s="1371"/>
      <c r="N772" s="1372"/>
      <c r="O772" s="1620"/>
      <c r="P772" s="1620"/>
      <c r="Q772" s="1620"/>
      <c r="R772" s="1620"/>
      <c r="S772" s="1620"/>
      <c r="T772" s="1726"/>
      <c r="U772" s="1727"/>
      <c r="V772" s="1727"/>
      <c r="W772" s="1728"/>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4">
        <v>2</v>
      </c>
      <c r="P773" s="1614"/>
      <c r="Q773" s="1614"/>
      <c r="R773" s="1614"/>
      <c r="S773" s="1614"/>
      <c r="T773" s="1344">
        <v>707</v>
      </c>
      <c r="U773" s="1345"/>
      <c r="V773" s="1345"/>
      <c r="W773" s="1346"/>
      <c r="X773" s="1341"/>
      <c r="Y773" s="1342"/>
      <c r="Z773" s="1342"/>
      <c r="AA773" s="1342"/>
      <c r="AB773" s="1343"/>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2</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8"/>
      <c r="K774" s="1339"/>
      <c r="L774" s="1339"/>
      <c r="M774" s="1339"/>
      <c r="N774" s="1340"/>
      <c r="O774" s="1614"/>
      <c r="P774" s="1614"/>
      <c r="Q774" s="1614"/>
      <c r="R774" s="1614"/>
      <c r="S774" s="1614"/>
      <c r="T774" s="1344"/>
      <c r="U774" s="1345"/>
      <c r="V774" s="1345"/>
      <c r="W774" s="1346"/>
      <c r="X774" s="1341"/>
      <c r="Y774" s="1342"/>
      <c r="Z774" s="1342"/>
      <c r="AA774" s="1342"/>
      <c r="AB774" s="1343"/>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8"/>
      <c r="K775" s="1339"/>
      <c r="L775" s="1339"/>
      <c r="M775" s="1339"/>
      <c r="N775" s="1340"/>
      <c r="O775" s="1614"/>
      <c r="P775" s="1614"/>
      <c r="Q775" s="1614"/>
      <c r="R775" s="1614"/>
      <c r="S775" s="1614"/>
      <c r="T775" s="1344"/>
      <c r="U775" s="1345"/>
      <c r="V775" s="1345"/>
      <c r="W775" s="1346"/>
      <c r="X775" s="1341"/>
      <c r="Y775" s="1342"/>
      <c r="Z775" s="1342"/>
      <c r="AA775" s="1342"/>
      <c r="AB775" s="1343"/>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8"/>
      <c r="K776" s="1339"/>
      <c r="L776" s="1339"/>
      <c r="M776" s="1339"/>
      <c r="N776" s="1340"/>
      <c r="O776" s="1614"/>
      <c r="P776" s="1614"/>
      <c r="Q776" s="1614"/>
      <c r="R776" s="1614"/>
      <c r="S776" s="1614"/>
      <c r="T776" s="1344"/>
      <c r="U776" s="1345"/>
      <c r="V776" s="1345"/>
      <c r="W776" s="1346"/>
      <c r="X776" s="1341"/>
      <c r="Y776" s="1342"/>
      <c r="Z776" s="1342"/>
      <c r="AA776" s="1342"/>
      <c r="AB776" s="1343"/>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1">
        <f>SUM(O773:S776)</f>
        <v>2</v>
      </c>
      <c r="P777" s="1473"/>
      <c r="Q777" s="1473"/>
      <c r="R777" s="1473"/>
      <c r="S777" s="1472"/>
      <c r="X777" s="1450" t="s">
        <v>124</v>
      </c>
      <c r="Y777" s="1451"/>
      <c r="Z777" s="1451"/>
      <c r="AA777" s="1451"/>
      <c r="AB777" s="1452"/>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2</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4" t="s">
        <v>389</v>
      </c>
      <c r="K783" s="1365"/>
      <c r="L783" s="1365"/>
      <c r="M783" s="1365"/>
      <c r="N783" s="1366"/>
      <c r="O783" s="1620" t="s">
        <v>285</v>
      </c>
      <c r="P783" s="1620"/>
      <c r="Q783" s="1620"/>
      <c r="R783" s="1620"/>
      <c r="S783" s="1620"/>
      <c r="T783" s="1720" t="s">
        <v>1680</v>
      </c>
      <c r="U783" s="1721"/>
      <c r="V783" s="1721"/>
      <c r="W783" s="1722"/>
      <c r="X783" s="1364" t="s">
        <v>448</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7"/>
      <c r="K784" s="1368"/>
      <c r="L784" s="1368"/>
      <c r="M784" s="1368"/>
      <c r="N784" s="1369"/>
      <c r="O784" s="1620"/>
      <c r="P784" s="1620"/>
      <c r="Q784" s="1620"/>
      <c r="R784" s="1620"/>
      <c r="S784" s="1620"/>
      <c r="T784" s="1723"/>
      <c r="U784" s="1724"/>
      <c r="V784" s="1724"/>
      <c r="W784" s="1725"/>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7"/>
      <c r="K785" s="1368"/>
      <c r="L785" s="1368"/>
      <c r="M785" s="1368"/>
      <c r="N785" s="1369"/>
      <c r="O785" s="1620"/>
      <c r="P785" s="1620"/>
      <c r="Q785" s="1620"/>
      <c r="R785" s="1620"/>
      <c r="S785" s="1620"/>
      <c r="T785" s="1723"/>
      <c r="U785" s="1724"/>
      <c r="V785" s="1724"/>
      <c r="W785" s="1725"/>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0"/>
      <c r="K786" s="1371"/>
      <c r="L786" s="1371"/>
      <c r="M786" s="1371"/>
      <c r="N786" s="1372"/>
      <c r="O786" s="1620"/>
      <c r="P786" s="1620"/>
      <c r="Q786" s="1620"/>
      <c r="R786" s="1620"/>
      <c r="S786" s="1620"/>
      <c r="T786" s="1726"/>
      <c r="U786" s="1727"/>
      <c r="V786" s="1727"/>
      <c r="W786" s="1728"/>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4"/>
      <c r="P787" s="1614"/>
      <c r="Q787" s="1614"/>
      <c r="R787" s="1614"/>
      <c r="S787" s="1614"/>
      <c r="T787" s="1344"/>
      <c r="U787" s="1345"/>
      <c r="V787" s="1345"/>
      <c r="W787" s="1346"/>
      <c r="X787" s="1341"/>
      <c r="Y787" s="1342"/>
      <c r="Z787" s="1342"/>
      <c r="AA787" s="1342"/>
      <c r="AB787" s="1343"/>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5" customHeight="1">
      <c r="A788"/>
      <c r="B788"/>
      <c r="C788"/>
      <c r="D788"/>
      <c r="E788"/>
      <c r="F788"/>
      <c r="G788"/>
      <c r="H788"/>
      <c r="I788"/>
      <c r="J788" s="1338"/>
      <c r="K788" s="1339"/>
      <c r="L788" s="1339"/>
      <c r="M788" s="1339"/>
      <c r="N788" s="1340"/>
      <c r="O788" s="1614"/>
      <c r="P788" s="1614"/>
      <c r="Q788" s="1614"/>
      <c r="R788" s="1614"/>
      <c r="S788" s="1614"/>
      <c r="T788" s="1344"/>
      <c r="U788" s="1345"/>
      <c r="V788" s="1345"/>
      <c r="W788" s="1346"/>
      <c r="X788" s="1341"/>
      <c r="Y788" s="1342"/>
      <c r="Z788" s="1342"/>
      <c r="AA788" s="1342"/>
      <c r="AB788" s="1343"/>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5" customHeight="1">
      <c r="A789"/>
      <c r="B789"/>
      <c r="C789"/>
      <c r="D789"/>
      <c r="E789"/>
      <c r="F789"/>
      <c r="G789"/>
      <c r="H789"/>
      <c r="I789"/>
      <c r="J789" s="1338"/>
      <c r="K789" s="1339"/>
      <c r="L789" s="1339"/>
      <c r="M789" s="1339"/>
      <c r="N789" s="1340"/>
      <c r="O789" s="1614"/>
      <c r="P789" s="1614"/>
      <c r="Q789" s="1614"/>
      <c r="R789" s="1614"/>
      <c r="S789" s="1614"/>
      <c r="T789" s="1344"/>
      <c r="U789" s="1345"/>
      <c r="V789" s="1345"/>
      <c r="W789" s="1346"/>
      <c r="X789" s="1341"/>
      <c r="Y789" s="1342"/>
      <c r="Z789" s="1342"/>
      <c r="AA789" s="1342"/>
      <c r="AB789" s="1343"/>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5" customHeight="1">
      <c r="A790"/>
      <c r="B790"/>
      <c r="C790"/>
      <c r="D790"/>
      <c r="E790"/>
      <c r="F790"/>
      <c r="G790"/>
      <c r="H790"/>
      <c r="I790"/>
      <c r="J790" s="1338"/>
      <c r="K790" s="1339"/>
      <c r="L790" s="1339"/>
      <c r="M790" s="1339"/>
      <c r="N790" s="1340"/>
      <c r="O790" s="1614"/>
      <c r="P790" s="1614"/>
      <c r="Q790" s="1614"/>
      <c r="R790" s="1614"/>
      <c r="S790" s="1614"/>
      <c r="T790" s="1344"/>
      <c r="U790" s="1345"/>
      <c r="V790" s="1345"/>
      <c r="W790" s="1346"/>
      <c r="X790" s="1341"/>
      <c r="Y790" s="1342"/>
      <c r="Z790" s="1342"/>
      <c r="AA790" s="1342"/>
      <c r="AB790" s="1343"/>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5" customHeight="1">
      <c r="A791"/>
      <c r="B791"/>
      <c r="C791"/>
      <c r="D791"/>
      <c r="E791"/>
      <c r="F791"/>
      <c r="G791"/>
      <c r="H791"/>
      <c r="I791"/>
      <c r="J791" s="1338"/>
      <c r="K791" s="1339"/>
      <c r="L791" s="1339"/>
      <c r="M791" s="1339"/>
      <c r="N791" s="1340"/>
      <c r="O791" s="1614"/>
      <c r="P791" s="1614"/>
      <c r="Q791" s="1614"/>
      <c r="R791" s="1614"/>
      <c r="S791" s="1614"/>
      <c r="T791" s="1344"/>
      <c r="U791" s="1345"/>
      <c r="V791" s="1345"/>
      <c r="W791" s="1346"/>
      <c r="X791" s="1341"/>
      <c r="Y791" s="1342"/>
      <c r="Z791" s="1342"/>
      <c r="AA791" s="1342"/>
      <c r="AB791" s="1343"/>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5" customHeight="1">
      <c r="A792"/>
      <c r="B792"/>
      <c r="C792"/>
      <c r="D792"/>
      <c r="E792"/>
      <c r="F792"/>
      <c r="G792"/>
      <c r="H792"/>
      <c r="I792"/>
      <c r="J792" s="1338"/>
      <c r="K792" s="1339"/>
      <c r="L792" s="1339"/>
      <c r="M792" s="1339"/>
      <c r="N792" s="1340"/>
      <c r="O792" s="1614"/>
      <c r="P792" s="1614"/>
      <c r="Q792" s="1614"/>
      <c r="R792" s="1614"/>
      <c r="S792" s="1614"/>
      <c r="T792" s="1344"/>
      <c r="U792" s="1345"/>
      <c r="V792" s="1345"/>
      <c r="W792" s="1346"/>
      <c r="X792" s="1341"/>
      <c r="Y792" s="1342"/>
      <c r="Z792" s="1342"/>
      <c r="AA792" s="1342"/>
      <c r="AB792" s="1343"/>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5" customHeight="1">
      <c r="A793"/>
      <c r="B793"/>
      <c r="C793"/>
      <c r="D793"/>
      <c r="E793"/>
      <c r="F793"/>
      <c r="G793"/>
      <c r="H793"/>
      <c r="I793"/>
      <c r="J793" s="1338"/>
      <c r="K793" s="1339"/>
      <c r="L793" s="1339"/>
      <c r="M793" s="1339"/>
      <c r="N793" s="1340"/>
      <c r="O793" s="1614"/>
      <c r="P793" s="1614"/>
      <c r="Q793" s="1614"/>
      <c r="R793" s="1614"/>
      <c r="S793" s="1614"/>
      <c r="T793" s="1344"/>
      <c r="U793" s="1345"/>
      <c r="V793" s="1345"/>
      <c r="W793" s="1346"/>
      <c r="X793" s="1341"/>
      <c r="Y793" s="1342"/>
      <c r="Z793" s="1342"/>
      <c r="AA793" s="1342"/>
      <c r="AB793" s="1343"/>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5" customHeight="1">
      <c r="A794"/>
      <c r="B794"/>
      <c r="C794"/>
      <c r="D794"/>
      <c r="E794"/>
      <c r="F794"/>
      <c r="G794"/>
      <c r="H794"/>
      <c r="I794"/>
      <c r="J794" s="1338"/>
      <c r="K794" s="1339"/>
      <c r="L794" s="1339"/>
      <c r="M794" s="1339"/>
      <c r="N794" s="1340"/>
      <c r="O794" s="1614"/>
      <c r="P794" s="1614"/>
      <c r="Q794" s="1614"/>
      <c r="R794" s="1614"/>
      <c r="S794" s="1614"/>
      <c r="T794" s="1344"/>
      <c r="U794" s="1345"/>
      <c r="V794" s="1345"/>
      <c r="W794" s="1346"/>
      <c r="X794" s="1341"/>
      <c r="Y794" s="1342"/>
      <c r="Z794" s="1342"/>
      <c r="AA794" s="1342"/>
      <c r="AB794" s="1343"/>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5" customHeight="1">
      <c r="A795"/>
      <c r="B795"/>
      <c r="C795"/>
      <c r="D795"/>
      <c r="E795"/>
      <c r="F795"/>
      <c r="G795"/>
      <c r="H795"/>
      <c r="I795"/>
      <c r="J795" s="1338"/>
      <c r="K795" s="1339"/>
      <c r="L795" s="1339"/>
      <c r="M795" s="1339"/>
      <c r="N795" s="1340"/>
      <c r="O795" s="1614"/>
      <c r="P795" s="1614"/>
      <c r="Q795" s="1614"/>
      <c r="R795" s="1614"/>
      <c r="S795" s="1614"/>
      <c r="T795" s="1344"/>
      <c r="U795" s="1345"/>
      <c r="V795" s="1345"/>
      <c r="W795" s="1346"/>
      <c r="X795" s="1341"/>
      <c r="Y795" s="1342"/>
      <c r="Z795" s="1342"/>
      <c r="AA795" s="1342"/>
      <c r="AB795" s="1343"/>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5" customHeight="1">
      <c r="A796"/>
      <c r="B796"/>
      <c r="C796"/>
      <c r="D796"/>
      <c r="E796"/>
      <c r="F796"/>
      <c r="G796"/>
      <c r="H796"/>
      <c r="I796"/>
      <c r="J796" s="1338"/>
      <c r="K796" s="1339"/>
      <c r="L796" s="1339"/>
      <c r="M796" s="1339"/>
      <c r="N796" s="1340"/>
      <c r="O796" s="1614"/>
      <c r="P796" s="1614"/>
      <c r="Q796" s="1614"/>
      <c r="R796" s="1614"/>
      <c r="S796" s="1614"/>
      <c r="T796" s="1344"/>
      <c r="U796" s="1345"/>
      <c r="V796" s="1345"/>
      <c r="W796" s="1346"/>
      <c r="X796" s="1341"/>
      <c r="Y796" s="1342"/>
      <c r="Z796" s="1342"/>
      <c r="AA796" s="1342"/>
      <c r="AB796" s="1343"/>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305610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3667320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31</v>
      </c>
      <c r="CV802" s="1475"/>
      <c r="CW802" s="1475"/>
      <c r="CX802" s="1475"/>
      <c r="CY802" s="1476"/>
      <c r="CZ802" s="1474">
        <f>CZ753+CZ777+CZ797</f>
        <v>82</v>
      </c>
      <c r="DA802" s="1475"/>
      <c r="DB802" s="1475"/>
      <c r="DC802" s="1475"/>
      <c r="DD802" s="1476"/>
      <c r="DE802" s="1474">
        <f>DE753+DE777+DE797</f>
        <v>47</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332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77500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15000</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92500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3759820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60"/>
      <c r="E825" s="1360"/>
      <c r="F825" s="1360"/>
      <c r="G825" s="1360"/>
      <c r="H825" s="1360"/>
      <c r="I825" s="48"/>
      <c r="J825" s="48"/>
      <c r="K825" s="48"/>
      <c r="L825" s="49"/>
      <c r="M825" s="1643"/>
      <c r="N825" s="1643"/>
      <c r="O825" s="1643"/>
      <c r="P825" s="1643"/>
      <c r="Q825" s="1643">
        <v>8</v>
      </c>
      <c r="R825" s="1643"/>
      <c r="S825" s="1643"/>
      <c r="T825" s="1643"/>
      <c r="U825" s="1643">
        <v>11</v>
      </c>
      <c r="V825" s="1643"/>
      <c r="W825" s="1643"/>
      <c r="X825" s="1643"/>
      <c r="Y825" s="1643">
        <v>13</v>
      </c>
      <c r="Z825" s="1643"/>
      <c r="AA825" s="1643"/>
      <c r="AB825" s="164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c r="R827" s="1643"/>
      <c r="S827" s="1643"/>
      <c r="T827" s="1643"/>
      <c r="U827" s="1643"/>
      <c r="V827" s="1643"/>
      <c r="W827" s="1643"/>
      <c r="X827" s="1643"/>
      <c r="Y827" s="1643"/>
      <c r="Z827" s="1643"/>
      <c r="AA827" s="1643"/>
      <c r="AB827" s="164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22</v>
      </c>
      <c r="R829" s="1643"/>
      <c r="S829" s="1643"/>
      <c r="T829" s="1643"/>
      <c r="U829" s="1643">
        <v>28</v>
      </c>
      <c r="V829" s="1643"/>
      <c r="W829" s="1643"/>
      <c r="X829" s="1643"/>
      <c r="Y829" s="1643">
        <v>35</v>
      </c>
      <c r="Z829" s="1643"/>
      <c r="AA829" s="1643"/>
      <c r="AB829" s="164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30</v>
      </c>
      <c r="R832" s="1637"/>
      <c r="S832" s="1637"/>
      <c r="T832" s="1637"/>
      <c r="U832" s="1637">
        <f>SUM(U825:X831)</f>
        <v>39</v>
      </c>
      <c r="V832" s="1637"/>
      <c r="W832" s="1637"/>
      <c r="X832" s="1637"/>
      <c r="Y832" s="1637">
        <f>SUM(Y825:AB831)</f>
        <v>48</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2705</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v>1200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7500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v>10000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v>22500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4" t="s">
        <v>2706</v>
      </c>
      <c r="N846" s="1595"/>
      <c r="O846" s="1595"/>
      <c r="P846" s="1595"/>
      <c r="Q846" s="1595"/>
      <c r="R846" s="1595"/>
      <c r="S846" s="1595"/>
      <c r="T846" s="1595"/>
      <c r="U846" s="1595"/>
      <c r="V846" s="1596"/>
      <c r="W846" s="1483">
        <v>6200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47400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8">
        <v>132720</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145000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82500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227500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78500</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62500</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2707</v>
      </c>
      <c r="N861" s="1595"/>
      <c r="O861" s="1595"/>
      <c r="P861" s="1595"/>
      <c r="Q861" s="1595"/>
      <c r="R861" s="1595"/>
      <c r="S861" s="1595"/>
      <c r="T861" s="1595"/>
      <c r="U861" s="1595"/>
      <c r="V861" s="1596"/>
      <c r="W861" s="1631">
        <v>39480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180480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160000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3">
        <v>4800</v>
      </c>
      <c r="X865" s="1483"/>
      <c r="Y865" s="1483"/>
      <c r="Z865" s="1483"/>
      <c r="AA865" s="1483"/>
      <c r="AB865" s="1483"/>
      <c r="AC865" s="1483"/>
      <c r="AU865" s="14"/>
      <c r="AZ865" s="34"/>
      <c r="BA865" s="34"/>
      <c r="BB865" s="34"/>
      <c r="BC865" s="34"/>
    </row>
    <row r="866" spans="3:55" ht="12.95" customHeight="1">
      <c r="J866" s="45" t="s">
        <v>523</v>
      </c>
      <c r="K866" s="5"/>
      <c r="L866" s="5"/>
      <c r="M866" s="5"/>
      <c r="N866" s="5"/>
      <c r="O866" s="5"/>
      <c r="P866" s="5"/>
      <c r="Q866" s="5"/>
      <c r="R866" s="5"/>
      <c r="S866" s="5"/>
      <c r="T866" s="5"/>
      <c r="U866" s="5"/>
      <c r="V866" s="46"/>
      <c r="W866" s="1483">
        <v>35000</v>
      </c>
      <c r="X866" s="1483"/>
      <c r="Y866" s="1483"/>
      <c r="Z866" s="1483"/>
      <c r="AA866" s="1483"/>
      <c r="AB866" s="1483"/>
      <c r="AC866" s="1483"/>
      <c r="AU866" s="4"/>
      <c r="AZ866" s="34"/>
      <c r="BA866" s="34"/>
      <c r="BB866" s="34"/>
      <c r="BC866" s="34"/>
    </row>
    <row r="867" spans="3:55" ht="12.95" customHeight="1">
      <c r="J867" s="45" t="s">
        <v>522</v>
      </c>
      <c r="K867" s="5"/>
      <c r="L867" s="5"/>
      <c r="M867" s="5"/>
      <c r="N867" s="5"/>
      <c r="O867" s="5"/>
      <c r="P867" s="5"/>
      <c r="Q867" s="5"/>
      <c r="R867" s="5"/>
      <c r="S867" s="5"/>
      <c r="T867" s="5"/>
      <c r="U867" s="5"/>
      <c r="V867" s="46"/>
      <c r="W867" s="1483">
        <v>28700</v>
      </c>
      <c r="X867" s="1483"/>
      <c r="Y867" s="1483"/>
      <c r="Z867" s="1483"/>
      <c r="AA867" s="1483"/>
      <c r="AB867" s="1483"/>
      <c r="AC867" s="1483"/>
      <c r="AU867" s="4"/>
      <c r="AZ867" s="34"/>
      <c r="BA867" s="34"/>
      <c r="BB867" s="34"/>
      <c r="BC867" s="34"/>
    </row>
    <row r="868" spans="3:55" ht="12.95" customHeight="1">
      <c r="J868" s="45" t="s">
        <v>521</v>
      </c>
      <c r="K868" s="5"/>
      <c r="L868" s="5"/>
      <c r="M868" s="5"/>
      <c r="N868" s="5"/>
      <c r="O868" s="5"/>
      <c r="P868" s="5"/>
      <c r="Q868" s="5"/>
      <c r="R868" s="5"/>
      <c r="S868" s="5"/>
      <c r="T868" s="5"/>
      <c r="U868" s="5"/>
      <c r="V868" s="46"/>
      <c r="W868" s="1483">
        <v>7500</v>
      </c>
      <c r="X868" s="1483"/>
      <c r="Y868" s="1483"/>
      <c r="Z868" s="1483"/>
      <c r="AA868" s="1483"/>
      <c r="AB868" s="1483"/>
      <c r="AC868" s="1483"/>
      <c r="AU868" s="4"/>
      <c r="AZ868" s="34"/>
      <c r="BA868" s="34"/>
      <c r="BB868" s="34"/>
      <c r="BC868" s="34"/>
    </row>
    <row r="869" spans="3:55" ht="12.95" customHeight="1">
      <c r="J869" s="45" t="s">
        <v>520</v>
      </c>
      <c r="K869" s="5"/>
      <c r="L869" s="5"/>
      <c r="M869" s="5"/>
      <c r="N869" s="5"/>
      <c r="O869" s="5"/>
      <c r="P869" s="5"/>
      <c r="Q869" s="5"/>
      <c r="R869" s="5"/>
      <c r="S869" s="5"/>
      <c r="T869" s="5"/>
      <c r="U869" s="5"/>
      <c r="V869" s="46"/>
      <c r="W869" s="1483">
        <v>12000</v>
      </c>
      <c r="X869" s="1483"/>
      <c r="Y869" s="1483"/>
      <c r="Z869" s="1483"/>
      <c r="AA869" s="1483"/>
      <c r="AB869" s="1483"/>
      <c r="AC869" s="1483"/>
      <c r="AU869" s="4"/>
      <c r="AZ869" s="34"/>
      <c r="BA869" s="34"/>
      <c r="BB869" s="34"/>
      <c r="BC869" s="34"/>
    </row>
    <row r="870" spans="3:55" ht="12.95" customHeight="1">
      <c r="J870" s="45" t="s">
        <v>519</v>
      </c>
      <c r="K870" s="5"/>
      <c r="L870" s="5"/>
      <c r="M870" s="5"/>
      <c r="N870" s="5"/>
      <c r="O870" s="5"/>
      <c r="P870" s="5"/>
      <c r="Q870" s="5"/>
      <c r="R870" s="5"/>
      <c r="S870" s="5"/>
      <c r="T870" s="5"/>
      <c r="U870" s="5"/>
      <c r="V870" s="46"/>
      <c r="W870" s="1483">
        <v>7400</v>
      </c>
      <c r="X870" s="1483"/>
      <c r="Y870" s="1483"/>
      <c r="Z870" s="1483"/>
      <c r="AA870" s="1483"/>
      <c r="AB870" s="1483"/>
      <c r="AC870" s="1483"/>
      <c r="AU870" s="4"/>
      <c r="AZ870" s="34"/>
      <c r="BA870" s="34"/>
      <c r="BB870" s="34"/>
      <c r="BC870" s="34"/>
    </row>
    <row r="871" spans="3:55" ht="12.95" customHeight="1">
      <c r="J871" s="45" t="s">
        <v>170</v>
      </c>
      <c r="K871" s="5"/>
      <c r="L871" s="5"/>
      <c r="M871" s="1594" t="s">
        <v>334</v>
      </c>
      <c r="N871" s="1595"/>
      <c r="O871" s="1595"/>
      <c r="P871" s="1595"/>
      <c r="Q871" s="1595"/>
      <c r="R871" s="1595"/>
      <c r="S871" s="1595"/>
      <c r="T871" s="1595"/>
      <c r="U871" s="1595"/>
      <c r="V871" s="1596"/>
      <c r="W871" s="1483"/>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95400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334</v>
      </c>
      <c r="N874" s="1595"/>
      <c r="O874" s="1595"/>
      <c r="P874" s="1595"/>
      <c r="Q874" s="1595"/>
      <c r="R874" s="1595"/>
      <c r="S874" s="1595"/>
      <c r="T874" s="1595"/>
      <c r="U874" s="1595"/>
      <c r="V874" s="1596"/>
      <c r="W874" s="1468"/>
      <c r="X874" s="1469"/>
      <c r="Y874" s="1469"/>
      <c r="Z874" s="1469"/>
      <c r="AA874" s="1469"/>
      <c r="AB874" s="1469"/>
      <c r="AC874" s="1470"/>
      <c r="AD874" s="533"/>
      <c r="AV874" s="14"/>
      <c r="AW874" s="14"/>
      <c r="AX874" s="14"/>
      <c r="AY874" s="14"/>
      <c r="AZ874" s="34"/>
      <c r="BA874" s="34"/>
      <c r="BB874" s="34"/>
      <c r="BC874" s="34"/>
    </row>
    <row r="875" spans="3:55" ht="12.95" customHeight="1">
      <c r="C875" s="2" t="s">
        <v>1245</v>
      </c>
      <c r="J875" s="45" t="s">
        <v>170</v>
      </c>
      <c r="K875" s="5"/>
      <c r="L875" s="5"/>
      <c r="M875" s="1594" t="s">
        <v>334</v>
      </c>
      <c r="N875" s="1595"/>
      <c r="O875" s="1595"/>
      <c r="P875" s="1595"/>
      <c r="Q875" s="1595"/>
      <c r="R875" s="1595"/>
      <c r="S875" s="1595"/>
      <c r="T875" s="1595"/>
      <c r="U875" s="1595"/>
      <c r="V875" s="1596"/>
      <c r="W875" s="1468"/>
      <c r="X875" s="1469"/>
      <c r="Y875" s="1469"/>
      <c r="Z875" s="1469"/>
      <c r="AA875" s="1469"/>
      <c r="AB875" s="1469"/>
      <c r="AC875" s="1470"/>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843500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160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5271</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31800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250*160</f>
        <v>40000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5000</v>
      </c>
      <c r="AD891" s="1469"/>
      <c r="AE891" s="1469"/>
      <c r="AF891" s="1469"/>
      <c r="AG891" s="1469"/>
      <c r="AH891" s="1470"/>
      <c r="AZ891" s="34"/>
      <c r="BA891" s="34"/>
      <c r="BB891" s="34"/>
      <c r="BC891" s="34"/>
    </row>
    <row r="892" spans="3:55" ht="12.95" hidden="1" customHeight="1">
      <c r="C892" s="1450" t="s">
        <v>2235</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9"/>
      <c r="AD893" s="1469"/>
      <c r="AE893" s="1469"/>
      <c r="AF893" s="1469"/>
      <c r="AG893" s="1469"/>
      <c r="AH893" s="1470"/>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3"/>
      <c r="AD894" s="1483"/>
      <c r="AE894" s="1483"/>
      <c r="AF894" s="1483"/>
      <c r="AG894" s="1483"/>
      <c r="AH894" s="1483"/>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v>53000000</v>
      </c>
      <c r="AB918" s="1410"/>
      <c r="AC918" s="1410"/>
      <c r="AD918" s="1410"/>
      <c r="AE918" s="1410"/>
      <c r="AF918" s="141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3" t="s">
        <v>546</v>
      </c>
      <c r="V919" s="1404"/>
      <c r="W919" s="1404"/>
      <c r="X919" s="1404"/>
      <c r="Y919" s="1404"/>
      <c r="Z919" s="1405"/>
      <c r="AA919" s="1409">
        <v>8000000</v>
      </c>
      <c r="AB919" s="1410"/>
      <c r="AC919" s="1410"/>
      <c r="AD919" s="1410"/>
      <c r="AE919" s="1410"/>
      <c r="AF919" s="141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5" customHeight="1">
      <c r="F926" s="1602" t="s">
        <v>2194</v>
      </c>
      <c r="G926" s="1603"/>
      <c r="H926" s="1603"/>
      <c r="I926" s="1603"/>
      <c r="J926" s="1603"/>
      <c r="K926" s="1603"/>
      <c r="L926" s="1603"/>
      <c r="M926" s="1603"/>
      <c r="N926" s="1603"/>
      <c r="O926" s="1603"/>
      <c r="P926" s="1603"/>
      <c r="Q926" s="1603"/>
      <c r="R926" s="1603"/>
      <c r="S926" s="1603"/>
      <c r="T926" s="1604"/>
      <c r="U926" s="1403" t="s">
        <v>592</v>
      </c>
      <c r="V926" s="1404"/>
      <c r="W926" s="1404"/>
      <c r="X926" s="1404"/>
      <c r="Y926" s="1404"/>
      <c r="Z926" s="1405"/>
      <c r="AA926" s="1409"/>
      <c r="AB926" s="1410"/>
      <c r="AC926" s="1410"/>
      <c r="AD926" s="1410"/>
      <c r="AE926" s="1410"/>
      <c r="AF926" s="1411"/>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3" t="s">
        <v>592</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2" t="s">
        <v>2195</v>
      </c>
      <c r="G928" s="1603"/>
      <c r="H928" s="1603"/>
      <c r="I928" s="1603"/>
      <c r="J928" s="1603"/>
      <c r="K928" s="1603"/>
      <c r="L928" s="1603"/>
      <c r="M928" s="1603"/>
      <c r="N928" s="1603"/>
      <c r="O928" s="1603"/>
      <c r="P928" s="1603"/>
      <c r="Q928" s="1603"/>
      <c r="R928" s="1603"/>
      <c r="S928" s="1603"/>
      <c r="T928" s="1604"/>
      <c r="U928" s="1403" t="s">
        <v>592</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2" t="s">
        <v>2196</v>
      </c>
      <c r="G929" s="1603"/>
      <c r="H929" s="1603"/>
      <c r="I929" s="1603"/>
      <c r="J929" s="1603"/>
      <c r="K929" s="1603"/>
      <c r="L929" s="1603"/>
      <c r="M929" s="1603"/>
      <c r="N929" s="1603"/>
      <c r="O929" s="1603"/>
      <c r="P929" s="1603"/>
      <c r="Q929" s="1603"/>
      <c r="R929" s="1603"/>
      <c r="S929" s="1603"/>
      <c r="T929" s="1604"/>
      <c r="U929" s="1403" t="s">
        <v>592</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2" t="s">
        <v>2197</v>
      </c>
      <c r="G930" s="1603"/>
      <c r="H930" s="1603"/>
      <c r="I930" s="1603"/>
      <c r="J930" s="1603"/>
      <c r="K930" s="1603"/>
      <c r="L930" s="1603"/>
      <c r="M930" s="1603"/>
      <c r="N930" s="1603"/>
      <c r="O930" s="1603"/>
      <c r="P930" s="1603"/>
      <c r="Q930" s="1603"/>
      <c r="R930" s="1603"/>
      <c r="S930" s="1603"/>
      <c r="T930" s="1604"/>
      <c r="U930" s="1403" t="s">
        <v>592</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2" t="s">
        <v>2198</v>
      </c>
      <c r="G931" s="1603"/>
      <c r="H931" s="1603"/>
      <c r="I931" s="1603"/>
      <c r="J931" s="1603"/>
      <c r="K931" s="1603"/>
      <c r="L931" s="1603"/>
      <c r="M931" s="1603"/>
      <c r="N931" s="1603"/>
      <c r="O931" s="1603"/>
      <c r="P931" s="1603"/>
      <c r="Q931" s="1603"/>
      <c r="R931" s="1603"/>
      <c r="S931" s="1603"/>
      <c r="T931" s="1604"/>
      <c r="U931" s="1403" t="s">
        <v>592</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2" t="s">
        <v>2199</v>
      </c>
      <c r="G932" s="1603"/>
      <c r="H932" s="1603"/>
      <c r="I932" s="1603"/>
      <c r="J932" s="1603"/>
      <c r="K932" s="1603"/>
      <c r="L932" s="1603"/>
      <c r="M932" s="1603"/>
      <c r="N932" s="1603"/>
      <c r="O932" s="1603"/>
      <c r="P932" s="1603"/>
      <c r="Q932" s="1603"/>
      <c r="R932" s="1603"/>
      <c r="S932" s="1603"/>
      <c r="T932" s="1604"/>
      <c r="U932" s="1403" t="s">
        <v>592</v>
      </c>
      <c r="V932" s="1404"/>
      <c r="W932" s="1404"/>
      <c r="X932" s="1404"/>
      <c r="Y932" s="1404"/>
      <c r="Z932" s="1405"/>
      <c r="AA932" s="1409"/>
      <c r="AB932" s="1410"/>
      <c r="AC932" s="1410"/>
      <c r="AD932" s="1410"/>
      <c r="AE932" s="1410"/>
      <c r="AF932" s="1411"/>
      <c r="AZ932" s="30"/>
      <c r="BA932" s="30"/>
    </row>
    <row r="933" spans="6:55" ht="12.95"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5" customHeight="1">
      <c r="F934" s="121" t="s">
        <v>1278</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2.95"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3" t="s">
        <v>592</v>
      </c>
      <c r="V936" s="1404"/>
      <c r="W936" s="1404"/>
      <c r="X936" s="1404"/>
      <c r="Y936" s="1404"/>
      <c r="Z936" s="1405"/>
      <c r="AA936" s="1409"/>
      <c r="AB936" s="1410"/>
      <c r="AC936" s="1410"/>
      <c r="AD936" s="1410"/>
      <c r="AE936" s="1410"/>
      <c r="AF936" s="1411"/>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3" t="s">
        <v>592</v>
      </c>
      <c r="V937" s="1404"/>
      <c r="W937" s="1404"/>
      <c r="X937" s="1404"/>
      <c r="Y937" s="1404"/>
      <c r="Z937" s="1405"/>
      <c r="AA937" s="1409"/>
      <c r="AB937" s="1410"/>
      <c r="AC937" s="1410"/>
      <c r="AD937" s="1410"/>
      <c r="AE937" s="1410"/>
      <c r="AF937" s="1411"/>
      <c r="AZ937" s="30"/>
      <c r="BA937" s="30"/>
    </row>
    <row r="938" spans="6:55" ht="12.95" customHeight="1">
      <c r="F938" s="1602" t="s">
        <v>2200</v>
      </c>
      <c r="G938" s="1603"/>
      <c r="H938" s="1603"/>
      <c r="I938" s="1603"/>
      <c r="J938" s="1603"/>
      <c r="K938" s="1603"/>
      <c r="L938" s="1603"/>
      <c r="M938" s="1603"/>
      <c r="N938" s="1603"/>
      <c r="O938" s="1603"/>
      <c r="P938" s="1603"/>
      <c r="Q938" s="1603"/>
      <c r="R938" s="1603"/>
      <c r="S938" s="1603"/>
      <c r="T938" s="1604"/>
      <c r="U938" s="1403" t="s">
        <v>592</v>
      </c>
      <c r="V938" s="1404"/>
      <c r="W938" s="1404"/>
      <c r="X938" s="1404"/>
      <c r="Y938" s="1404"/>
      <c r="Z938" s="1405"/>
      <c r="AA938" s="1409"/>
      <c r="AB938" s="1410"/>
      <c r="AC938" s="1410"/>
      <c r="AD938" s="1410"/>
      <c r="AE938" s="1410"/>
      <c r="AF938" s="1411"/>
      <c r="AZ938" s="30"/>
      <c r="BA938" s="30"/>
    </row>
    <row r="939" spans="6:55" ht="12.95" customHeight="1">
      <c r="F939" s="1602" t="s">
        <v>2201</v>
      </c>
      <c r="G939" s="1603"/>
      <c r="H939" s="1603"/>
      <c r="I939" s="1603"/>
      <c r="J939" s="1603"/>
      <c r="K939" s="1603"/>
      <c r="L939" s="1603"/>
      <c r="M939" s="1603"/>
      <c r="N939" s="1603"/>
      <c r="O939" s="1603"/>
      <c r="P939" s="1603"/>
      <c r="Q939" s="1603"/>
      <c r="R939" s="1603"/>
      <c r="S939" s="1603"/>
      <c r="T939" s="1604"/>
      <c r="U939" s="1403" t="s">
        <v>592</v>
      </c>
      <c r="V939" s="1404"/>
      <c r="W939" s="1404"/>
      <c r="X939" s="1404"/>
      <c r="Y939" s="1404"/>
      <c r="Z939" s="1405"/>
      <c r="AA939" s="1409"/>
      <c r="AB939" s="1410"/>
      <c r="AC939" s="1410"/>
      <c r="AD939" s="1410"/>
      <c r="AE939" s="1410"/>
      <c r="AF939" s="1411"/>
      <c r="AZ939" s="30"/>
      <c r="BA939" s="30"/>
    </row>
    <row r="940" spans="6:55" ht="12.95" customHeight="1">
      <c r="F940" s="1602" t="s">
        <v>2202</v>
      </c>
      <c r="G940" s="1603"/>
      <c r="H940" s="1603"/>
      <c r="I940" s="1603"/>
      <c r="J940" s="1603"/>
      <c r="K940" s="1603"/>
      <c r="L940" s="1603"/>
      <c r="M940" s="1603"/>
      <c r="N940" s="1603"/>
      <c r="O940" s="1603"/>
      <c r="P940" s="1603"/>
      <c r="Q940" s="1603"/>
      <c r="R940" s="1603"/>
      <c r="S940" s="1603"/>
      <c r="T940" s="1604"/>
      <c r="U940" s="1403" t="s">
        <v>592</v>
      </c>
      <c r="V940" s="1404"/>
      <c r="W940" s="1404"/>
      <c r="X940" s="1404"/>
      <c r="Y940" s="1404"/>
      <c r="Z940" s="1405"/>
      <c r="AA940" s="1409"/>
      <c r="AB940" s="1410"/>
      <c r="AC940" s="1410"/>
      <c r="AD940" s="1410"/>
      <c r="AE940" s="1410"/>
      <c r="AF940" s="141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3" t="s">
        <v>592</v>
      </c>
      <c r="V942" s="1404"/>
      <c r="W942" s="1404"/>
      <c r="X942" s="1404"/>
      <c r="Y942" s="1404"/>
      <c r="Z942" s="1405"/>
      <c r="AA942" s="1409"/>
      <c r="AB942" s="1410"/>
      <c r="AC942" s="1410"/>
      <c r="AD942" s="1410"/>
      <c r="AE942" s="1410"/>
      <c r="AF942" s="141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3" t="s">
        <v>592</v>
      </c>
      <c r="V944" s="1404"/>
      <c r="W944" s="1404"/>
      <c r="X944" s="1404"/>
      <c r="Y944" s="1404"/>
      <c r="Z944" s="1405"/>
      <c r="AA944" s="1409"/>
      <c r="AB944" s="1410"/>
      <c r="AC944" s="1410"/>
      <c r="AD944" s="1410"/>
      <c r="AE944" s="1410"/>
      <c r="AF944" s="1411"/>
      <c r="AZ944" s="34"/>
      <c r="BA944" s="34"/>
      <c r="BB944" s="34"/>
      <c r="BC944" s="34"/>
    </row>
    <row r="945" spans="1:55" ht="12.95"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5" customHeight="1">
      <c r="F946" s="1602" t="s">
        <v>2193</v>
      </c>
      <c r="G946" s="1603"/>
      <c r="H946" s="1604"/>
      <c r="I946" s="1594" t="s">
        <v>334</v>
      </c>
      <c r="J946" s="1595"/>
      <c r="K946" s="1595"/>
      <c r="L946" s="1595"/>
      <c r="M946" s="1595"/>
      <c r="N946" s="1595"/>
      <c r="O946" s="1595"/>
      <c r="P946" s="1595"/>
      <c r="Q946" s="1595"/>
      <c r="R946" s="1595"/>
      <c r="S946" s="1595"/>
      <c r="T946" s="1596"/>
      <c r="U946" s="1403" t="s">
        <v>592</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3" t="s">
        <v>592</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38" t="s">
        <v>334</v>
      </c>
      <c r="J948" s="1539"/>
      <c r="K948" s="1539"/>
      <c r="L948" s="1539"/>
      <c r="M948" s="1539"/>
      <c r="N948" s="1539"/>
      <c r="O948" s="1539"/>
      <c r="P948" s="1539"/>
      <c r="Q948" s="1539"/>
      <c r="R948" s="1539"/>
      <c r="S948" s="1539"/>
      <c r="T948" s="1540"/>
      <c r="U948" s="1403" t="s">
        <v>592</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2.95" customHeight="1">
      <c r="F949" s="47" t="s">
        <v>170</v>
      </c>
      <c r="G949" s="48"/>
      <c r="H949" s="48"/>
      <c r="I949" s="1594" t="s">
        <v>2708</v>
      </c>
      <c r="J949" s="1539"/>
      <c r="K949" s="1539"/>
      <c r="L949" s="1539"/>
      <c r="M949" s="1539"/>
      <c r="N949" s="1539"/>
      <c r="O949" s="1539"/>
      <c r="P949" s="1539"/>
      <c r="Q949" s="1539"/>
      <c r="R949" s="1539"/>
      <c r="S949" s="1539"/>
      <c r="T949" s="1540"/>
      <c r="U949" s="1403" t="s">
        <v>546</v>
      </c>
      <c r="V949" s="1404"/>
      <c r="W949" s="1404"/>
      <c r="X949" s="1404"/>
      <c r="Y949" s="1404"/>
      <c r="Z949" s="1405"/>
      <c r="AA949" s="1409">
        <v>11000000</v>
      </c>
      <c r="AB949" s="1410"/>
      <c r="AC949" s="1410"/>
      <c r="AD949" s="1410"/>
      <c r="AE949" s="1410"/>
      <c r="AF949" s="1411"/>
      <c r="AU949" s="2"/>
      <c r="AZ949" s="34"/>
      <c r="BA949" s="34"/>
      <c r="BB949" s="34"/>
      <c r="BC949" s="34"/>
    </row>
    <row r="950" spans="1:55" ht="12.95" customHeight="1">
      <c r="F950" s="47" t="s">
        <v>170</v>
      </c>
      <c r="G950" s="48"/>
      <c r="H950" s="48"/>
      <c r="I950" s="1538" t="s">
        <v>334</v>
      </c>
      <c r="J950" s="1539"/>
      <c r="K950" s="1539"/>
      <c r="L950" s="1539"/>
      <c r="M950" s="1539"/>
      <c r="N950" s="1539"/>
      <c r="O950" s="1539"/>
      <c r="P950" s="1539"/>
      <c r="Q950" s="1539"/>
      <c r="R950" s="1539"/>
      <c r="S950" s="1539"/>
      <c r="T950" s="1540"/>
      <c r="U950" s="1403" t="s">
        <v>592</v>
      </c>
      <c r="V950" s="1404"/>
      <c r="W950" s="1404"/>
      <c r="X950" s="1404"/>
      <c r="Y950" s="1404"/>
      <c r="Z950" s="1405"/>
      <c r="AA950" s="1409"/>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1662</v>
      </c>
      <c r="D962" s="5"/>
      <c r="E962" s="5"/>
      <c r="F962" s="5"/>
      <c r="G962" s="5"/>
      <c r="H962" s="5"/>
      <c r="I962" s="5"/>
      <c r="J962" s="5"/>
      <c r="K962" s="5"/>
      <c r="L962" s="46"/>
      <c r="M962" s="1406"/>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60"/>
      <c r="H975" s="1360"/>
      <c r="I975" s="1360"/>
      <c r="J975" s="1360"/>
      <c r="K975" s="1360"/>
      <c r="L975" s="1360"/>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549</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8" t="s">
        <v>634</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437727</v>
      </c>
      <c r="S986" s="1553"/>
      <c r="T986" s="1553"/>
      <c r="U986" s="1553"/>
      <c r="V986" s="1553"/>
      <c r="W986" s="1553"/>
      <c r="X986" s="1553"/>
      <c r="Y986" s="1553"/>
      <c r="Z986" s="1553"/>
      <c r="AA986" s="1553"/>
      <c r="AB986" s="1391">
        <f>CP802</f>
        <v>0</v>
      </c>
      <c r="AC986" s="1392"/>
      <c r="AD986" s="1392"/>
      <c r="AE986" s="1392"/>
      <c r="AF986" s="1392"/>
      <c r="AG986" s="1392"/>
      <c r="AH986" s="1392"/>
      <c r="AI986" s="1393"/>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504695</v>
      </c>
      <c r="S987" s="1553"/>
      <c r="T987" s="1553"/>
      <c r="U987" s="1553"/>
      <c r="V987" s="1553"/>
      <c r="W987" s="1553"/>
      <c r="X987" s="1553"/>
      <c r="Y987" s="1553"/>
      <c r="Z987" s="1553"/>
      <c r="AA987" s="1553"/>
      <c r="AB987" s="1391">
        <f>CU802</f>
        <v>31</v>
      </c>
      <c r="AC987" s="1392"/>
      <c r="AD987" s="1392"/>
      <c r="AE987" s="1392"/>
      <c r="AF987" s="1392"/>
      <c r="AG987" s="1392"/>
      <c r="AH987" s="1392"/>
      <c r="AI987" s="1393"/>
      <c r="AJ987" s="1490">
        <f>IF(ISERROR((R987*AB987)),0,(R987*AB987))</f>
        <v>15645545</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608800</v>
      </c>
      <c r="S988" s="1553"/>
      <c r="T988" s="1553"/>
      <c r="U988" s="1553"/>
      <c r="V988" s="1553"/>
      <c r="W988" s="1553"/>
      <c r="X988" s="1553"/>
      <c r="Y988" s="1553"/>
      <c r="Z988" s="1553"/>
      <c r="AA988" s="1553"/>
      <c r="AB988" s="1391">
        <f>CZ802</f>
        <v>82</v>
      </c>
      <c r="AC988" s="1392"/>
      <c r="AD988" s="1392"/>
      <c r="AE988" s="1392"/>
      <c r="AF988" s="1392"/>
      <c r="AG988" s="1392"/>
      <c r="AH988" s="1392"/>
      <c r="AI988" s="1393"/>
      <c r="AJ988" s="1490">
        <f>IF(ISERROR((R988*AB988)),0,(R988*AB988))</f>
        <v>49921600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779264</v>
      </c>
      <c r="S989" s="1553"/>
      <c r="T989" s="1553"/>
      <c r="U989" s="1553"/>
      <c r="V989" s="1553"/>
      <c r="W989" s="1553"/>
      <c r="X989" s="1553"/>
      <c r="Y989" s="1553"/>
      <c r="Z989" s="1553"/>
      <c r="AA989" s="1553"/>
      <c r="AB989" s="1391">
        <f>DE802</f>
        <v>47</v>
      </c>
      <c r="AC989" s="1392"/>
      <c r="AD989" s="1392"/>
      <c r="AE989" s="1392"/>
      <c r="AF989" s="1392"/>
      <c r="AG989" s="1392"/>
      <c r="AH989" s="1392"/>
      <c r="AI989" s="1393"/>
      <c r="AJ989" s="1490">
        <f>IF(ISERROR((R989*AB989)),0,(R989*AB989))</f>
        <v>36625408</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8" t="s">
        <v>461</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868149</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160</v>
      </c>
      <c r="AC991" s="1392"/>
      <c r="AD991" s="1392"/>
      <c r="AE991" s="1392"/>
      <c r="AF991" s="1392"/>
      <c r="AG991" s="1392"/>
      <c r="AH991" s="1392"/>
      <c r="AI991" s="1393"/>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102192553</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669</v>
      </c>
      <c r="D994" s="1506" t="s">
        <v>1221</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670</v>
      </c>
      <c r="AH994" s="1503"/>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1" t="s">
        <v>2237</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4" t="s">
        <v>2207</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1" t="s">
        <v>1285</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158</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0.09</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0.22</v>
      </c>
      <c r="AZ1006" s="34"/>
      <c r="BB1006" s="34"/>
    </row>
    <row r="1007" spans="1:55" ht="12.95" customHeight="1">
      <c r="A1007" s="14"/>
      <c r="B1007" s="255"/>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546</v>
      </c>
      <c r="AH1007" s="1505"/>
      <c r="AI1007" s="87"/>
      <c r="AJ1007" s="1394">
        <f>ROUND(IF(AG1007="yes",AJ992*0.1,0),0)</f>
        <v>10219255</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9" t="s">
        <v>1286</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2" t="s">
        <v>1289</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1842</v>
      </c>
      <c r="AZ1012" s="3" t="s">
        <v>2609</v>
      </c>
    </row>
    <row r="1013" spans="1:52" ht="12.95"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9" t="s">
        <v>1291</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218</v>
      </c>
      <c r="D1016" s="1506" t="s">
        <v>2238</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09" t="s">
        <v>1292</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223</v>
      </c>
      <c r="D1020" s="1523" t="s">
        <v>1293</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09" t="s">
        <v>1294</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670</v>
      </c>
      <c r="AH1025" s="1505"/>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9" t="s">
        <v>1691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
      </c>
      <c r="AG1026" s="1530"/>
      <c r="AH1026" s="1530"/>
      <c r="AI1026" s="1531"/>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6" t="s">
        <v>1296</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4">
        <f>ROUND(IF(AG1029="yes",(AJ992*0.1),0),0)</f>
        <v>10219255</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9" t="s">
        <v>1297</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8"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9"/>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8"/>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9"/>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688</v>
      </c>
      <c r="D1036" s="1506" t="s">
        <v>1689</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546</v>
      </c>
      <c r="AH1036" s="1584"/>
      <c r="AI1036" s="83"/>
      <c r="AJ1036" s="1394">
        <f>ROUND(IF(AND(AG1036="yes",AJ1032=0),(AJ992*0.1),0),0)</f>
        <v>10219255</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8"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9"/>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8"/>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9"/>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8"/>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9"/>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0.31645569620253167</v>
      </c>
      <c r="BB1039" s="3" t="s">
        <v>2495</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546</v>
      </c>
      <c r="AH1041" s="1505"/>
      <c r="AI1041" s="87"/>
      <c r="AJ1041" s="1394">
        <f>ROUND(IF(AG1041="yes",(AJ992*0.1),0),0)</f>
        <v>10219255</v>
      </c>
      <c r="AK1041" s="1395"/>
      <c r="AL1041" s="1395"/>
      <c r="AM1041" s="1395"/>
      <c r="AN1041" s="1395"/>
      <c r="AO1041" s="1395"/>
      <c r="AP1041" s="1395"/>
      <c r="AQ1041" s="1396"/>
      <c r="AR1041" s="68"/>
      <c r="AS1041" s="68"/>
      <c r="AT1041" s="68"/>
      <c r="AU1041" s="68"/>
      <c r="AV1041" s="68"/>
      <c r="AW1041" s="68"/>
      <c r="AX1041" s="68"/>
      <c r="AY1041" s="68"/>
      <c r="BA1041">
        <f>Q212</f>
        <v>0</v>
      </c>
      <c r="BB1041" s="3" t="s">
        <v>2493</v>
      </c>
    </row>
    <row r="1042" spans="1:56" ht="12.95" customHeight="1">
      <c r="A1042" s="14"/>
      <c r="B1042" s="73"/>
      <c r="C1042" s="74"/>
      <c r="D1042" s="1509" t="s">
        <v>2146</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2494</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1685</v>
      </c>
      <c r="D1045" s="1506" t="s">
        <v>1866</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4">
        <f>IF((X1048=0),0,AY1005*AJ992)</f>
        <v>9197329.7699999996</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9" t="s">
        <v>1300</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12187099.949999999</v>
      </c>
      <c r="BA1046" s="1182">
        <f>IF(BA1040,20%,15%)</f>
        <v>0.15</v>
      </c>
      <c r="BB1046" s="3" t="s">
        <v>2481</v>
      </c>
      <c r="BC1046" s="3" t="s">
        <v>2482</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1">
        <f>AY1003</f>
        <v>158</v>
      </c>
      <c r="J1048" s="1572"/>
      <c r="K1048" s="7"/>
      <c r="L1048" s="133"/>
      <c r="M1048" s="133"/>
      <c r="N1048" s="133"/>
      <c r="O1048" s="133"/>
      <c r="P1048" s="133"/>
      <c r="Q1048" s="133"/>
      <c r="R1048" s="133"/>
      <c r="S1048" s="133"/>
      <c r="T1048" s="133"/>
      <c r="U1048" s="133"/>
      <c r="V1048" s="134" t="s">
        <v>974</v>
      </c>
      <c r="W1048" s="48"/>
      <c r="X1048" s="1569">
        <f>CI753</f>
        <v>15</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6" t="s">
        <v>2172</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4">
        <f>IF((X1052=0),0,(2*AY1006)*AJ992)</f>
        <v>44964723.32</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9" t="s">
        <v>1299</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158</v>
      </c>
      <c r="J1052" s="1572"/>
      <c r="K1052" s="14"/>
      <c r="L1052" s="133"/>
      <c r="M1052" s="133"/>
      <c r="N1052" s="133"/>
      <c r="O1052" s="133"/>
      <c r="P1052" s="133"/>
      <c r="Q1052" s="133"/>
      <c r="R1052" s="133"/>
      <c r="S1052" s="133"/>
      <c r="T1052" s="133"/>
      <c r="U1052" s="133"/>
      <c r="V1052" s="134" t="s">
        <v>975</v>
      </c>
      <c r="X1052" s="1569">
        <f>CM753</f>
        <v>35</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197231626.09</v>
      </c>
      <c r="AK1053" s="1581"/>
      <c r="AL1053" s="1581"/>
      <c r="AM1053" s="1581"/>
      <c r="AN1053" s="1581"/>
      <c r="AO1053" s="1581"/>
      <c r="AP1053" s="1581"/>
      <c r="AQ1053" s="1582"/>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93247333</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12187099.949999999</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0.58536089291326809</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12000000</v>
      </c>
      <c r="BB1058" s="3" t="s">
        <v>2496</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9500000</v>
      </c>
      <c r="BB1059" s="3" t="s">
        <v>2497</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546</v>
      </c>
      <c r="B1065" s="1333"/>
      <c r="C1065" s="1334">
        <v>1</v>
      </c>
      <c r="D1065" s="1334"/>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592</v>
      </c>
      <c r="B1067" s="1333"/>
      <c r="C1067" s="1334">
        <v>2</v>
      </c>
      <c r="D1067" s="1334"/>
      <c r="E1067" s="1337" t="s">
        <v>2240</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592</v>
      </c>
      <c r="B1081" s="1333"/>
      <c r="C1081" s="1336">
        <v>5</v>
      </c>
      <c r="D1081" s="1336"/>
      <c r="E1081" s="1293" t="s">
        <v>2244</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592</v>
      </c>
      <c r="B1085" s="1333"/>
      <c r="C1085" s="1336">
        <v>6</v>
      </c>
      <c r="D1085" s="1336"/>
      <c r="E1085" s="1293" t="s">
        <v>2245</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592</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592</v>
      </c>
      <c r="B1100" s="1333"/>
      <c r="C1100" s="1334">
        <v>10</v>
      </c>
      <c r="D1100" s="1334"/>
      <c r="E1100" s="1335" t="s">
        <v>2241</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592</v>
      </c>
      <c r="B1103" s="1333"/>
      <c r="C1103" s="1334">
        <v>11</v>
      </c>
      <c r="D1103" s="1334"/>
      <c r="E1103" s="1335" t="s">
        <v>2243</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1" zoomScale="117" zoomScaleNormal="100" workbookViewId="0">
      <selection activeCell="K89" sqref="K8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1)Citi Tax Exempt Permanent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3500000</v>
      </c>
      <c r="C4" s="147">
        <v>3500000</v>
      </c>
      <c r="D4" s="147"/>
      <c r="E4" s="147"/>
      <c r="F4" s="147">
        <f>C4</f>
        <v>3500000</v>
      </c>
      <c r="G4" s="147"/>
      <c r="H4" s="147"/>
      <c r="I4" s="147"/>
      <c r="J4" s="147"/>
      <c r="K4" s="147"/>
      <c r="L4" s="147"/>
      <c r="M4" s="147"/>
      <c r="N4" s="147"/>
      <c r="O4" s="147"/>
      <c r="P4" s="147"/>
      <c r="Q4" s="147"/>
      <c r="R4" s="516">
        <f>SUM(E4:Q4)</f>
        <v>3500000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3500000</v>
      </c>
      <c r="C8" s="146">
        <f t="shared" ref="C8:Q8" si="0">SUM(C4:C7)</f>
        <v>3500000</v>
      </c>
      <c r="D8" s="146">
        <f t="shared" si="0"/>
        <v>0</v>
      </c>
      <c r="E8" s="146">
        <f t="shared" si="0"/>
        <v>0</v>
      </c>
      <c r="F8" s="146">
        <f t="shared" si="0"/>
        <v>3500000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3500000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3500000</v>
      </c>
      <c r="C12" s="146">
        <f t="shared" si="2"/>
        <v>3500000</v>
      </c>
      <c r="D12" s="146">
        <f t="shared" si="2"/>
        <v>0</v>
      </c>
      <c r="E12" s="146">
        <f t="shared" si="2"/>
        <v>0</v>
      </c>
      <c r="F12" s="146">
        <f t="shared" si="2"/>
        <v>3500000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3500000</v>
      </c>
      <c r="S12" s="148"/>
      <c r="T12" s="148"/>
      <c r="U12" s="143"/>
    </row>
    <row r="13" spans="1:21" s="144" customFormat="1">
      <c r="A13" s="287" t="s">
        <v>903</v>
      </c>
      <c r="B13" s="146">
        <f>SUM(C13+D13)</f>
        <v>0</v>
      </c>
      <c r="C13" s="147">
        <v>0</v>
      </c>
      <c r="D13" s="147"/>
      <c r="E13" s="147"/>
      <c r="F13" s="147">
        <f>C13</f>
        <v>0</v>
      </c>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1563337</v>
      </c>
      <c r="C29" s="147">
        <v>1563337</v>
      </c>
      <c r="D29" s="147"/>
      <c r="E29" s="147">
        <f>C29</f>
        <v>1563337</v>
      </c>
      <c r="F29" s="147"/>
      <c r="G29" s="147"/>
      <c r="H29" s="147"/>
      <c r="I29" s="147"/>
      <c r="J29" s="147"/>
      <c r="K29" s="147"/>
      <c r="L29" s="147"/>
      <c r="M29" s="147"/>
      <c r="N29" s="147"/>
      <c r="O29" s="147"/>
      <c r="P29" s="147"/>
      <c r="Q29" s="147"/>
      <c r="R29" s="516">
        <f t="shared" ref="R29:R37" si="7">SUM(E29:Q29)</f>
        <v>1563337</v>
      </c>
      <c r="S29" s="147">
        <v>1563337</v>
      </c>
      <c r="T29" s="147"/>
      <c r="U29" s="143"/>
    </row>
    <row r="30" spans="1:21" s="144" customFormat="1">
      <c r="A30" s="145" t="s">
        <v>600</v>
      </c>
      <c r="B30" s="146">
        <f t="shared" si="6"/>
        <v>48337344</v>
      </c>
      <c r="C30" s="147">
        <f>54000000-C29-C31-C32-C33+500000+737323</f>
        <v>48337344</v>
      </c>
      <c r="D30" s="147"/>
      <c r="E30" s="147">
        <f>C30</f>
        <v>48337344</v>
      </c>
      <c r="F30" s="147"/>
      <c r="G30" s="147"/>
      <c r="H30" s="147"/>
      <c r="I30" s="147"/>
      <c r="J30" s="147"/>
      <c r="K30" s="147"/>
      <c r="L30" s="147"/>
      <c r="M30" s="147"/>
      <c r="N30" s="147"/>
      <c r="O30" s="147"/>
      <c r="P30" s="147"/>
      <c r="Q30" s="147"/>
      <c r="R30" s="516">
        <f t="shared" si="7"/>
        <v>48337344</v>
      </c>
      <c r="S30" s="147">
        <f>R30</f>
        <v>48337344</v>
      </c>
      <c r="T30" s="147"/>
      <c r="U30" s="143"/>
    </row>
    <row r="31" spans="1:21" s="144" customFormat="1">
      <c r="A31" s="145" t="s">
        <v>601</v>
      </c>
      <c r="B31" s="146">
        <f t="shared" si="6"/>
        <v>634172</v>
      </c>
      <c r="C31" s="147">
        <v>634172</v>
      </c>
      <c r="D31" s="147"/>
      <c r="E31" s="147">
        <f>51420258-51200681</f>
        <v>219577</v>
      </c>
      <c r="F31" s="147">
        <f>C31-E31</f>
        <v>414595</v>
      </c>
      <c r="G31" s="147"/>
      <c r="H31" s="147"/>
      <c r="I31" s="147"/>
      <c r="J31" s="147"/>
      <c r="K31" s="147"/>
      <c r="L31" s="147"/>
      <c r="M31" s="147"/>
      <c r="N31" s="147"/>
      <c r="O31" s="147"/>
      <c r="P31" s="147"/>
      <c r="Q31" s="147"/>
      <c r="R31" s="516">
        <f t="shared" si="7"/>
        <v>634172</v>
      </c>
      <c r="S31" s="147">
        <v>634172</v>
      </c>
      <c r="T31" s="147"/>
      <c r="U31" s="143"/>
    </row>
    <row r="32" spans="1:21" s="144" customFormat="1">
      <c r="A32" s="145" t="s">
        <v>137</v>
      </c>
      <c r="B32" s="146">
        <f t="shared" si="6"/>
        <v>2339792</v>
      </c>
      <c r="C32" s="147">
        <v>2339792</v>
      </c>
      <c r="D32" s="147"/>
      <c r="E32" s="147"/>
      <c r="F32" s="147">
        <f>C32</f>
        <v>2339792</v>
      </c>
      <c r="G32" s="147"/>
      <c r="H32" s="147"/>
      <c r="I32" s="147"/>
      <c r="J32" s="147"/>
      <c r="K32" s="147"/>
      <c r="L32" s="147"/>
      <c r="M32" s="147"/>
      <c r="N32" s="147"/>
      <c r="O32" s="147"/>
      <c r="P32" s="147"/>
      <c r="Q32" s="147"/>
      <c r="R32" s="516">
        <f t="shared" si="7"/>
        <v>2339792</v>
      </c>
      <c r="S32" s="147">
        <f>R32</f>
        <v>2339792</v>
      </c>
      <c r="T32" s="147"/>
      <c r="U32" s="143"/>
    </row>
    <row r="33" spans="1:21" s="144" customFormat="1">
      <c r="A33" s="145" t="s">
        <v>138</v>
      </c>
      <c r="B33" s="146">
        <f t="shared" si="6"/>
        <v>2362678</v>
      </c>
      <c r="C33" s="147">
        <v>2362678</v>
      </c>
      <c r="D33" s="147"/>
      <c r="E33" s="147"/>
      <c r="F33" s="1260">
        <f>C33</f>
        <v>2362678</v>
      </c>
      <c r="G33" s="147"/>
      <c r="H33" s="147"/>
      <c r="I33" s="147"/>
      <c r="J33" s="147"/>
      <c r="K33" s="147"/>
      <c r="L33" s="147"/>
      <c r="M33" s="147"/>
      <c r="N33" s="147"/>
      <c r="O33" s="147"/>
      <c r="P33" s="147"/>
      <c r="Q33" s="147"/>
      <c r="R33" s="516">
        <f t="shared" si="7"/>
        <v>2362678</v>
      </c>
      <c r="S33" s="147">
        <v>2362678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393000</v>
      </c>
      <c r="C35" s="147">
        <v>393000</v>
      </c>
      <c r="D35" s="147"/>
      <c r="E35" s="147"/>
      <c r="F35" s="147">
        <f>C35</f>
        <v>393000</v>
      </c>
      <c r="G35" s="147"/>
      <c r="H35" s="147"/>
      <c r="I35" s="147"/>
      <c r="J35" s="147"/>
      <c r="K35" s="147"/>
      <c r="L35" s="147"/>
      <c r="M35" s="147"/>
      <c r="N35" s="147"/>
      <c r="O35" s="147"/>
      <c r="P35" s="147"/>
      <c r="Q35" s="147"/>
      <c r="R35" s="516">
        <f t="shared" si="7"/>
        <v>393000</v>
      </c>
      <c r="S35" s="147">
        <f>R35</f>
        <v>393000</v>
      </c>
      <c r="T35" s="147"/>
      <c r="U35" s="143"/>
    </row>
    <row r="36" spans="1:21" s="144" customFormat="1">
      <c r="A36" s="283" t="s">
        <v>1641</v>
      </c>
      <c r="B36" s="146">
        <f t="shared" si="6"/>
        <v>1300000</v>
      </c>
      <c r="C36" s="147">
        <v>1300000</v>
      </c>
      <c r="D36" s="147"/>
      <c r="E36" s="147">
        <f>C36</f>
        <v>1300000</v>
      </c>
      <c r="F36" s="147"/>
      <c r="G36" s="147"/>
      <c r="H36" s="147"/>
      <c r="I36" s="147"/>
      <c r="J36" s="147"/>
      <c r="K36" s="147"/>
      <c r="L36" s="147"/>
      <c r="M36" s="147"/>
      <c r="N36" s="147"/>
      <c r="O36" s="147"/>
      <c r="P36" s="147"/>
      <c r="Q36" s="147"/>
      <c r="R36" s="516">
        <f t="shared" si="7"/>
        <v>1300000</v>
      </c>
      <c r="S36" s="147">
        <f>R36</f>
        <v>1300000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56930323</v>
      </c>
      <c r="C38" s="146">
        <f>SUM(C29:C37)</f>
        <v>56930323</v>
      </c>
      <c r="D38" s="146">
        <f t="shared" ref="D38:Q38" si="8">SUM(D29:D37)</f>
        <v>0</v>
      </c>
      <c r="E38" s="146">
        <f t="shared" si="8"/>
        <v>51420258</v>
      </c>
      <c r="F38" s="146">
        <f t="shared" si="8"/>
        <v>5510065</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56930323</v>
      </c>
      <c r="S38" s="150">
        <f>SUM(S29:S37)</f>
        <v>56930323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c r="F40" s="147">
        <f>C40</f>
        <v>1500000</v>
      </c>
      <c r="G40" s="147"/>
      <c r="H40" s="147"/>
      <c r="I40" s="147"/>
      <c r="J40" s="147"/>
      <c r="K40" s="147"/>
      <c r="L40" s="147"/>
      <c r="M40" s="147"/>
      <c r="N40" s="147"/>
      <c r="O40" s="147"/>
      <c r="P40" s="147"/>
      <c r="Q40" s="147"/>
      <c r="R40" s="516">
        <f>SUM(E40:Q40)</f>
        <v>1500000</v>
      </c>
      <c r="S40" s="147">
        <f>R40</f>
        <v>1500000</v>
      </c>
      <c r="T40" s="147"/>
      <c r="U40" s="143"/>
    </row>
    <row r="41" spans="1:21" s="144" customFormat="1">
      <c r="A41" s="145" t="s">
        <v>146</v>
      </c>
      <c r="B41" s="146">
        <f>SUM(C41+D41)</f>
        <v>150000</v>
      </c>
      <c r="C41" s="147">
        <v>150000</v>
      </c>
      <c r="D41" s="147"/>
      <c r="E41" s="147"/>
      <c r="F41" s="147">
        <f>C41</f>
        <v>150000</v>
      </c>
      <c r="G41" s="147"/>
      <c r="H41" s="147"/>
      <c r="I41" s="147"/>
      <c r="J41" s="147"/>
      <c r="K41" s="147"/>
      <c r="L41" s="147"/>
      <c r="M41" s="147"/>
      <c r="N41" s="147"/>
      <c r="O41" s="147"/>
      <c r="P41" s="147"/>
      <c r="Q41" s="147"/>
      <c r="R41" s="516">
        <f>SUM(E41:Q41)</f>
        <v>150000</v>
      </c>
      <c r="S41" s="147">
        <v>150000</v>
      </c>
      <c r="T41" s="147"/>
      <c r="U41" s="143"/>
    </row>
    <row r="42" spans="1:21" s="144" customFormat="1">
      <c r="A42" s="149" t="s">
        <v>147</v>
      </c>
      <c r="B42" s="146">
        <f>SUM(C42:D42)</f>
        <v>1650000</v>
      </c>
      <c r="C42" s="146">
        <f>SUM(C39:C41)</f>
        <v>1650000</v>
      </c>
      <c r="D42" s="146">
        <f>SUM(D39:D41)</f>
        <v>0</v>
      </c>
      <c r="E42" s="146">
        <f t="shared" ref="E42:T42" si="9">SUM(E40:E41)</f>
        <v>0</v>
      </c>
      <c r="F42" s="146">
        <f t="shared" si="9"/>
        <v>1650000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1650000</v>
      </c>
      <c r="S42" s="150">
        <f t="shared" si="9"/>
        <v>1650000</v>
      </c>
      <c r="T42" s="150">
        <f t="shared" si="9"/>
        <v>0</v>
      </c>
      <c r="U42" s="143"/>
    </row>
    <row r="43" spans="1:21" s="144" customFormat="1">
      <c r="A43" s="149" t="s">
        <v>148</v>
      </c>
      <c r="B43" s="146">
        <f>SUM(C43:D43)</f>
        <v>1750000</v>
      </c>
      <c r="C43" s="147">
        <v>1750000</v>
      </c>
      <c r="D43" s="147"/>
      <c r="E43" s="147"/>
      <c r="F43" s="147">
        <f>C43</f>
        <v>1750000</v>
      </c>
      <c r="G43" s="147"/>
      <c r="H43" s="147"/>
      <c r="I43" s="147"/>
      <c r="J43" s="147"/>
      <c r="K43" s="147"/>
      <c r="L43" s="147"/>
      <c r="M43" s="147"/>
      <c r="N43" s="147"/>
      <c r="O43" s="147"/>
      <c r="P43" s="147"/>
      <c r="Q43" s="147"/>
      <c r="R43" s="516">
        <f>SUM(E43:Q43)</f>
        <v>1750000</v>
      </c>
      <c r="S43" s="147">
        <f>R43</f>
        <v>1750000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8033500</v>
      </c>
      <c r="C45" s="147">
        <f>97570000-89536500</f>
        <v>8033500</v>
      </c>
      <c r="D45" s="147"/>
      <c r="E45" s="147"/>
      <c r="F45" s="147">
        <f>C45</f>
        <v>8033500</v>
      </c>
      <c r="G45" s="147"/>
      <c r="H45" s="147"/>
      <c r="I45" s="147"/>
      <c r="J45" s="147"/>
      <c r="K45" s="147"/>
      <c r="L45" s="147"/>
      <c r="M45" s="147"/>
      <c r="N45" s="147"/>
      <c r="O45" s="147"/>
      <c r="P45" s="147"/>
      <c r="Q45" s="147"/>
      <c r="R45" s="516">
        <f t="shared" ref="R45:R53" si="11">SUM(E45:Q45)</f>
        <v>8033500</v>
      </c>
      <c r="S45" s="147">
        <f>92843333-84885500+25000-231000</f>
        <v>7751833</v>
      </c>
      <c r="T45" s="147"/>
      <c r="U45" s="143"/>
    </row>
    <row r="46" spans="1:21" s="144" customFormat="1">
      <c r="A46" s="145" t="s">
        <v>151</v>
      </c>
      <c r="B46" s="146">
        <f t="shared" si="10"/>
        <v>710000</v>
      </c>
      <c r="C46" s="147">
        <v>710000</v>
      </c>
      <c r="D46" s="147"/>
      <c r="E46" s="147"/>
      <c r="F46" s="147">
        <f>C46</f>
        <v>710000</v>
      </c>
      <c r="G46" s="147"/>
      <c r="H46" s="147"/>
      <c r="I46" s="147"/>
      <c r="J46" s="147"/>
      <c r="K46" s="147"/>
      <c r="L46" s="147"/>
      <c r="M46" s="147"/>
      <c r="N46" s="147"/>
      <c r="O46" s="147"/>
      <c r="P46" s="147"/>
      <c r="Q46" s="147"/>
      <c r="R46" s="516">
        <f t="shared" si="11"/>
        <v>710000</v>
      </c>
      <c r="S46" s="147">
        <f>R46</f>
        <v>710000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462000</v>
      </c>
      <c r="C49" s="147">
        <v>462000</v>
      </c>
      <c r="D49" s="147"/>
      <c r="E49" s="147"/>
      <c r="F49" s="147">
        <f>C49</f>
        <v>462000</v>
      </c>
      <c r="G49" s="147"/>
      <c r="H49" s="147"/>
      <c r="I49" s="147"/>
      <c r="J49" s="147"/>
      <c r="K49" s="147"/>
      <c r="L49" s="147"/>
      <c r="M49" s="147"/>
      <c r="N49" s="147"/>
      <c r="O49" s="147"/>
      <c r="P49" s="147"/>
      <c r="Q49" s="147"/>
      <c r="R49" s="516">
        <f t="shared" si="11"/>
        <v>462000</v>
      </c>
      <c r="S49" s="147">
        <f>R49</f>
        <v>462000</v>
      </c>
      <c r="T49" s="147"/>
      <c r="U49" s="143"/>
    </row>
    <row r="50" spans="1:21" s="144" customFormat="1">
      <c r="A50" s="145" t="s">
        <v>156</v>
      </c>
      <c r="B50" s="146">
        <f t="shared" si="10"/>
        <v>100000</v>
      </c>
      <c r="C50" s="147">
        <v>100000</v>
      </c>
      <c r="D50" s="147"/>
      <c r="E50" s="147"/>
      <c r="F50" s="147">
        <f>C50</f>
        <v>100000</v>
      </c>
      <c r="G50" s="147"/>
      <c r="H50" s="147"/>
      <c r="I50" s="147"/>
      <c r="J50" s="147"/>
      <c r="K50" s="147"/>
      <c r="L50" s="147"/>
      <c r="M50" s="147"/>
      <c r="N50" s="147"/>
      <c r="O50" s="147"/>
      <c r="P50" s="147"/>
      <c r="Q50" s="147"/>
      <c r="R50" s="516">
        <f t="shared" si="11"/>
        <v>100000</v>
      </c>
      <c r="S50" s="147">
        <v>100000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1200000</v>
      </c>
      <c r="C52" s="147">
        <v>1200000</v>
      </c>
      <c r="D52" s="147"/>
      <c r="E52" s="147"/>
      <c r="F52" s="147">
        <f>C52</f>
        <v>1200000</v>
      </c>
      <c r="G52" s="147"/>
      <c r="H52" s="147"/>
      <c r="I52" s="147"/>
      <c r="J52" s="147"/>
      <c r="K52" s="147"/>
      <c r="L52" s="147"/>
      <c r="M52" s="147"/>
      <c r="N52" s="147"/>
      <c r="O52" s="147"/>
      <c r="P52" s="147"/>
      <c r="Q52" s="147"/>
      <c r="R52" s="516">
        <f t="shared" si="11"/>
        <v>1200000</v>
      </c>
      <c r="S52" s="147">
        <f>R52</f>
        <v>1200000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10505500</v>
      </c>
      <c r="C54" s="150">
        <f t="shared" ref="C54:T54" si="12">SUM(C45:C53)</f>
        <v>10505500</v>
      </c>
      <c r="D54" s="150">
        <f t="shared" si="12"/>
        <v>0</v>
      </c>
      <c r="E54" s="150">
        <f t="shared" si="12"/>
        <v>0</v>
      </c>
      <c r="F54" s="150">
        <f t="shared" si="12"/>
        <v>10505500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10505500</v>
      </c>
      <c r="S54" s="150">
        <f t="shared" si="12"/>
        <v>10223833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70000</v>
      </c>
      <c r="C56" s="147">
        <v>70000</v>
      </c>
      <c r="D56" s="147"/>
      <c r="E56" s="147"/>
      <c r="F56" s="147">
        <f>C56</f>
        <v>70000</v>
      </c>
      <c r="G56" s="147"/>
      <c r="H56" s="147"/>
      <c r="I56" s="147"/>
      <c r="J56" s="147"/>
      <c r="K56" s="147"/>
      <c r="L56" s="147"/>
      <c r="M56" s="147"/>
      <c r="N56" s="147"/>
      <c r="O56" s="147"/>
      <c r="P56" s="147"/>
      <c r="Q56" s="147"/>
      <c r="R56" s="516">
        <f t="shared" ref="R56:R61" si="14">SUM(E56:Q56)</f>
        <v>70000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70000</v>
      </c>
      <c r="C62" s="146">
        <f t="shared" ref="C62:R62" si="15">SUM(C56:C61)</f>
        <v>70000</v>
      </c>
      <c r="D62" s="146">
        <f t="shared" si="15"/>
        <v>0</v>
      </c>
      <c r="E62" s="146">
        <f t="shared" si="15"/>
        <v>0</v>
      </c>
      <c r="F62" s="146">
        <f t="shared" si="15"/>
        <v>70000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70000</v>
      </c>
      <c r="S62" s="148"/>
      <c r="T62" s="148"/>
      <c r="U62" s="143"/>
    </row>
    <row r="63" spans="1:21" s="144" customFormat="1">
      <c r="A63" s="154" t="s">
        <v>302</v>
      </c>
      <c r="B63" s="146">
        <f t="shared" ref="B63:R63" si="16">SUM(B8+B11+B13+B14+B15+B26+B27+B38+B42+B43+B54+B62)</f>
        <v>74405823</v>
      </c>
      <c r="C63" s="146">
        <f t="shared" si="16"/>
        <v>74405823</v>
      </c>
      <c r="D63" s="146">
        <f t="shared" si="16"/>
        <v>0</v>
      </c>
      <c r="E63" s="146">
        <f t="shared" si="16"/>
        <v>51420258</v>
      </c>
      <c r="F63" s="146">
        <f t="shared" si="16"/>
        <v>22985565</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74405823</v>
      </c>
      <c r="S63" s="146">
        <f>SUM(S10+S13+S14+S15+S26+S27+S38+S42+S43+S54)</f>
        <v>70554156</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135000</v>
      </c>
      <c r="C65" s="147">
        <v>135000</v>
      </c>
      <c r="D65" s="147"/>
      <c r="E65" s="147"/>
      <c r="F65" s="147">
        <f>C65</f>
        <v>135000</v>
      </c>
      <c r="G65" s="147"/>
      <c r="H65" s="147"/>
      <c r="I65" s="147"/>
      <c r="J65" s="147"/>
      <c r="K65" s="147"/>
      <c r="L65" s="147"/>
      <c r="M65" s="147"/>
      <c r="N65" s="147"/>
      <c r="O65" s="147"/>
      <c r="P65" s="147"/>
      <c r="Q65" s="147"/>
      <c r="R65" s="516">
        <f>SUM(E65:Q65)</f>
        <v>135000</v>
      </c>
      <c r="S65" s="147">
        <v>135000</v>
      </c>
      <c r="T65" s="147"/>
      <c r="U65" s="143"/>
    </row>
    <row r="66" spans="1:21" s="144" customFormat="1" ht="24" customHeight="1">
      <c r="A66" s="283" t="s">
        <v>1642</v>
      </c>
      <c r="B66" s="146">
        <f>SUM(C66+D66)</f>
        <v>100000</v>
      </c>
      <c r="C66" s="147">
        <v>100000</v>
      </c>
      <c r="D66" s="147"/>
      <c r="E66" s="147"/>
      <c r="F66" s="147">
        <f>C66</f>
        <v>100000</v>
      </c>
      <c r="G66" s="147"/>
      <c r="H66" s="147"/>
      <c r="I66" s="147"/>
      <c r="J66" s="147"/>
      <c r="K66" s="147"/>
      <c r="L66" s="147"/>
      <c r="M66" s="147"/>
      <c r="N66" s="147"/>
      <c r="O66" s="147"/>
      <c r="P66" s="147"/>
      <c r="Q66" s="147"/>
      <c r="R66" s="516">
        <f>SUM(E66:Q66)</f>
        <v>100000</v>
      </c>
      <c r="S66" s="147">
        <v>100000</v>
      </c>
      <c r="T66" s="147"/>
      <c r="U66" s="143"/>
    </row>
    <row r="67" spans="1:21" s="144" customFormat="1" ht="24" customHeight="1">
      <c r="A67" s="283" t="s">
        <v>1643</v>
      </c>
      <c r="B67" s="146">
        <f>SUM(C67+D67)</f>
        <v>4250000</v>
      </c>
      <c r="C67" s="147">
        <v>4250000</v>
      </c>
      <c r="D67" s="147"/>
      <c r="E67" s="147"/>
      <c r="F67" s="147">
        <v>4250000</v>
      </c>
      <c r="G67" s="147"/>
      <c r="H67" s="147"/>
      <c r="I67" s="147"/>
      <c r="J67" s="147"/>
      <c r="K67" s="147"/>
      <c r="L67" s="147"/>
      <c r="M67" s="147"/>
      <c r="N67" s="147"/>
      <c r="O67" s="147"/>
      <c r="P67" s="147"/>
      <c r="Q67" s="147"/>
      <c r="R67" s="516">
        <f>SUM(E67:Q67)</f>
        <v>4250000</v>
      </c>
      <c r="S67" s="147">
        <v>4250000</v>
      </c>
      <c r="T67" s="147"/>
      <c r="U67" s="143"/>
    </row>
    <row r="68" spans="1:21" s="144" customFormat="1" ht="12" customHeight="1">
      <c r="A68" s="283" t="s">
        <v>1649</v>
      </c>
      <c r="B68" s="146">
        <f>SUM(C68+D68)</f>
        <v>0</v>
      </c>
      <c r="C68" s="147"/>
      <c r="D68" s="147"/>
      <c r="E68" s="147"/>
      <c r="F68" s="147">
        <f>C68</f>
        <v>0</v>
      </c>
      <c r="G68" s="147"/>
      <c r="H68" s="147"/>
      <c r="I68" s="147"/>
      <c r="J68" s="147"/>
      <c r="K68" s="147"/>
      <c r="L68" s="147"/>
      <c r="M68" s="147"/>
      <c r="N68" s="147"/>
      <c r="O68" s="147"/>
      <c r="P68" s="147"/>
      <c r="Q68" s="147"/>
      <c r="R68" s="516">
        <f>SUM(E68:Q68)</f>
        <v>0</v>
      </c>
      <c r="S68" s="147"/>
      <c r="T68" s="147"/>
      <c r="U68" s="143"/>
    </row>
    <row r="69" spans="1:21" s="144" customFormat="1">
      <c r="A69" s="1149" t="s">
        <v>2710</v>
      </c>
      <c r="B69" s="146">
        <f>SUM(C69+D69)</f>
        <v>120000</v>
      </c>
      <c r="C69" s="147">
        <v>120000</v>
      </c>
      <c r="D69" s="147"/>
      <c r="E69" s="147"/>
      <c r="F69" s="147">
        <f>C69</f>
        <v>120000</v>
      </c>
      <c r="G69" s="147"/>
      <c r="H69" s="147"/>
      <c r="I69" s="147"/>
      <c r="J69" s="147"/>
      <c r="K69" s="147"/>
      <c r="L69" s="147"/>
      <c r="M69" s="147"/>
      <c r="N69" s="147"/>
      <c r="O69" s="147"/>
      <c r="P69" s="147"/>
      <c r="Q69" s="147"/>
      <c r="R69" s="516">
        <f>SUM(E69:Q69)</f>
        <v>120000</v>
      </c>
      <c r="S69" s="147">
        <v>120000</v>
      </c>
      <c r="T69" s="147"/>
      <c r="U69" s="143"/>
    </row>
    <row r="70" spans="1:21" s="144" customFormat="1">
      <c r="A70" s="149" t="s">
        <v>1646</v>
      </c>
      <c r="B70" s="146">
        <f>SUM(C70:D70)</f>
        <v>4605000</v>
      </c>
      <c r="C70" s="146">
        <f>SUM(C65:C69)</f>
        <v>4605000</v>
      </c>
      <c r="D70" s="146">
        <f>SUM(D65:D69)</f>
        <v>0</v>
      </c>
      <c r="E70" s="146">
        <f t="shared" ref="E70:T70" si="17">SUM(E65:E69)</f>
        <v>0</v>
      </c>
      <c r="F70" s="146">
        <f t="shared" si="17"/>
        <v>4605000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4605000</v>
      </c>
      <c r="S70" s="150">
        <f t="shared" si="17"/>
        <v>4605000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800000</v>
      </c>
      <c r="C75" s="147">
        <v>800000</v>
      </c>
      <c r="D75" s="147"/>
      <c r="E75" s="147"/>
      <c r="F75" s="147">
        <f>C75</f>
        <v>800000</v>
      </c>
      <c r="G75" s="147"/>
      <c r="H75" s="147"/>
      <c r="I75" s="147"/>
      <c r="J75" s="147"/>
      <c r="K75" s="147"/>
      <c r="L75" s="147"/>
      <c r="M75" s="147"/>
      <c r="N75" s="147"/>
      <c r="O75" s="147"/>
      <c r="P75" s="147"/>
      <c r="Q75" s="147"/>
      <c r="R75" s="516">
        <f>SUM(E75:Q75)</f>
        <v>800000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800000</v>
      </c>
      <c r="C77" s="146">
        <f>SUM(C72:C76)</f>
        <v>800000</v>
      </c>
      <c r="D77" s="146">
        <f>SUM(D72:D76)</f>
        <v>0</v>
      </c>
      <c r="E77" s="146">
        <f t="shared" ref="E77:Q77" si="18">SUM(E72:E76)</f>
        <v>0</v>
      </c>
      <c r="F77" s="146">
        <f t="shared" si="18"/>
        <v>800000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800000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3629000</v>
      </c>
      <c r="C79" s="147">
        <f>99449000-95820000</f>
        <v>3629000</v>
      </c>
      <c r="D79" s="147"/>
      <c r="E79" s="147"/>
      <c r="F79" s="147">
        <f>C79</f>
        <v>3629000</v>
      </c>
      <c r="G79" s="147"/>
      <c r="H79" s="147"/>
      <c r="I79" s="147"/>
      <c r="J79" s="147"/>
      <c r="K79" s="147"/>
      <c r="L79" s="147"/>
      <c r="M79" s="147"/>
      <c r="N79" s="147"/>
      <c r="O79" s="147"/>
      <c r="P79" s="147"/>
      <c r="Q79" s="147"/>
      <c r="R79" s="516">
        <f>SUM(E79:Q79)</f>
        <v>3629000</v>
      </c>
      <c r="S79" s="147">
        <f>R79</f>
        <v>3629000</v>
      </c>
      <c r="T79" s="147"/>
      <c r="U79" s="143"/>
    </row>
    <row r="80" spans="1:21" s="144" customFormat="1">
      <c r="A80" s="283" t="s">
        <v>58</v>
      </c>
      <c r="B80" s="146">
        <f>SUM(C80:D80)</f>
        <v>966500</v>
      </c>
      <c r="C80" s="147">
        <v>966500</v>
      </c>
      <c r="D80" s="147"/>
      <c r="E80" s="147"/>
      <c r="F80" s="147">
        <f>C80</f>
        <v>966500</v>
      </c>
      <c r="G80" s="147"/>
      <c r="H80" s="147"/>
      <c r="I80" s="147"/>
      <c r="J80" s="147"/>
      <c r="K80" s="147"/>
      <c r="L80" s="147"/>
      <c r="M80" s="147"/>
      <c r="N80" s="147"/>
      <c r="O80" s="147"/>
      <c r="P80" s="147"/>
      <c r="Q80" s="147"/>
      <c r="R80" s="516">
        <f>SUM(E80:Q80)</f>
        <v>966500</v>
      </c>
      <c r="S80" s="147">
        <f>R80</f>
        <v>966500</v>
      </c>
      <c r="T80" s="147"/>
      <c r="U80" s="143"/>
    </row>
    <row r="81" spans="1:21" s="144" customFormat="1">
      <c r="A81" s="149" t="s">
        <v>1210</v>
      </c>
      <c r="B81" s="146">
        <f>SUM(C81:D81)</f>
        <v>4595500</v>
      </c>
      <c r="C81" s="509">
        <f>SUM(C79:C80)</f>
        <v>4595500</v>
      </c>
      <c r="D81" s="509">
        <f t="shared" ref="D81:T81" si="19">SUM(D79:D80)</f>
        <v>0</v>
      </c>
      <c r="E81" s="509">
        <f t="shared" si="19"/>
        <v>0</v>
      </c>
      <c r="F81" s="509">
        <f t="shared" si="19"/>
        <v>4595500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4595500</v>
      </c>
      <c r="S81" s="509">
        <f t="shared" si="19"/>
        <v>4595500</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0</v>
      </c>
      <c r="C83" s="147"/>
      <c r="D83" s="147"/>
      <c r="E83" s="147"/>
      <c r="F83" s="147"/>
      <c r="G83" s="147"/>
      <c r="H83" s="147"/>
      <c r="I83" s="147"/>
      <c r="J83" s="147"/>
      <c r="K83" s="147"/>
      <c r="L83" s="147"/>
      <c r="M83" s="147"/>
      <c r="N83" s="147"/>
      <c r="O83" s="147"/>
      <c r="P83" s="147"/>
      <c r="Q83" s="147"/>
      <c r="R83" s="516">
        <f t="shared" ref="R83:R95" si="21">SUM(E83:Q83)</f>
        <v>0</v>
      </c>
      <c r="S83" s="148"/>
      <c r="T83" s="148"/>
      <c r="U83" s="143"/>
    </row>
    <row r="84" spans="1:21" s="144" customFormat="1">
      <c r="A84" s="145" t="s">
        <v>768</v>
      </c>
      <c r="B84" s="146">
        <f t="shared" si="20"/>
        <v>50000</v>
      </c>
      <c r="C84" s="147">
        <v>50000</v>
      </c>
      <c r="D84" s="147"/>
      <c r="E84" s="147"/>
      <c r="F84" s="147">
        <f>C84</f>
        <v>50000</v>
      </c>
      <c r="G84" s="147"/>
      <c r="H84" s="147"/>
      <c r="I84" s="147"/>
      <c r="J84" s="147"/>
      <c r="K84" s="147"/>
      <c r="L84" s="147"/>
      <c r="M84" s="147"/>
      <c r="N84" s="147"/>
      <c r="O84" s="147"/>
      <c r="P84" s="147"/>
      <c r="Q84" s="147"/>
      <c r="R84" s="516">
        <f t="shared" si="21"/>
        <v>50000</v>
      </c>
      <c r="S84" s="147">
        <v>50000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1077677</v>
      </c>
      <c r="C86" s="147">
        <v>1077677</v>
      </c>
      <c r="D86" s="147"/>
      <c r="E86" s="147"/>
      <c r="F86" s="147">
        <f>C86</f>
        <v>1077677</v>
      </c>
      <c r="G86" s="147"/>
      <c r="H86" s="147"/>
      <c r="I86" s="147"/>
      <c r="J86" s="147"/>
      <c r="K86" s="147"/>
      <c r="L86" s="147"/>
      <c r="M86" s="147"/>
      <c r="N86" s="147"/>
      <c r="O86" s="147"/>
      <c r="P86" s="147"/>
      <c r="Q86" s="147"/>
      <c r="R86" s="516">
        <f t="shared" si="21"/>
        <v>1077677</v>
      </c>
      <c r="S86" s="147">
        <f>R86</f>
        <v>1077677</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773</v>
      </c>
      <c r="B89" s="146">
        <f t="shared" si="20"/>
        <v>350000</v>
      </c>
      <c r="C89" s="147">
        <v>350000</v>
      </c>
      <c r="D89" s="147"/>
      <c r="E89" s="147"/>
      <c r="F89" s="147">
        <v>350000</v>
      </c>
      <c r="G89" s="147"/>
      <c r="H89" s="147"/>
      <c r="I89" s="147"/>
      <c r="J89" s="147"/>
      <c r="K89" s="147"/>
      <c r="L89" s="147"/>
      <c r="M89" s="147"/>
      <c r="N89" s="147"/>
      <c r="O89" s="147"/>
      <c r="P89" s="147"/>
      <c r="Q89" s="147"/>
      <c r="R89" s="516">
        <f t="shared" si="21"/>
        <v>350000</v>
      </c>
      <c r="S89" s="147">
        <v>350000</v>
      </c>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50000</v>
      </c>
      <c r="C91" s="147">
        <v>50000</v>
      </c>
      <c r="D91" s="147"/>
      <c r="E91" s="147"/>
      <c r="F91" s="147">
        <f>C91</f>
        <v>50000</v>
      </c>
      <c r="G91" s="147"/>
      <c r="H91" s="147"/>
      <c r="I91" s="147"/>
      <c r="J91" s="147"/>
      <c r="K91" s="147"/>
      <c r="L91" s="147"/>
      <c r="M91" s="147"/>
      <c r="N91" s="147"/>
      <c r="O91" s="147"/>
      <c r="P91" s="147"/>
      <c r="Q91" s="147"/>
      <c r="R91" s="516">
        <f t="shared" si="21"/>
        <v>50000</v>
      </c>
      <c r="S91" s="147">
        <v>0</v>
      </c>
      <c r="T91" s="147"/>
      <c r="U91" s="143"/>
    </row>
    <row r="92" spans="1:21" s="144" customFormat="1">
      <c r="A92" s="283" t="s">
        <v>1212</v>
      </c>
      <c r="B92" s="146">
        <f t="shared" si="20"/>
        <v>15000</v>
      </c>
      <c r="C92" s="147">
        <v>15000</v>
      </c>
      <c r="D92" s="147"/>
      <c r="E92" s="147"/>
      <c r="F92" s="147">
        <f>C92</f>
        <v>15000</v>
      </c>
      <c r="G92" s="147"/>
      <c r="H92" s="147"/>
      <c r="I92" s="147"/>
      <c r="J92" s="147"/>
      <c r="K92" s="147"/>
      <c r="L92" s="147"/>
      <c r="M92" s="147"/>
      <c r="N92" s="147"/>
      <c r="O92" s="147"/>
      <c r="P92" s="147"/>
      <c r="Q92" s="147"/>
      <c r="R92" s="516">
        <f t="shared" si="21"/>
        <v>15000</v>
      </c>
      <c r="S92" s="147">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1542677</v>
      </c>
      <c r="C96" s="146">
        <f t="shared" ref="C96:R96" si="22">SUM(C83:C95)</f>
        <v>1542677</v>
      </c>
      <c r="D96" s="146">
        <f t="shared" si="22"/>
        <v>0</v>
      </c>
      <c r="E96" s="146">
        <f t="shared" si="22"/>
        <v>0</v>
      </c>
      <c r="F96" s="146">
        <f t="shared" si="22"/>
        <v>1542677</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1542677</v>
      </c>
      <c r="S96" s="150">
        <f>SUM(S84:S87,S89:S95)</f>
        <v>1492677</v>
      </c>
      <c r="T96" s="146">
        <f>SUM(T84:T87,T89:T95)</f>
        <v>0</v>
      </c>
      <c r="U96" s="143"/>
    </row>
    <row r="97" spans="1:21" s="144" customFormat="1">
      <c r="A97" s="149" t="s">
        <v>776</v>
      </c>
      <c r="B97" s="146">
        <f>SUM(C97:D97)</f>
        <v>85949000</v>
      </c>
      <c r="C97" s="146">
        <f t="shared" ref="C97:R97" si="23">SUM(C63+C70+C77+C81+C96)</f>
        <v>85949000</v>
      </c>
      <c r="D97" s="146">
        <f t="shared" si="23"/>
        <v>0</v>
      </c>
      <c r="E97" s="146">
        <f t="shared" si="23"/>
        <v>51420258</v>
      </c>
      <c r="F97" s="146">
        <f t="shared" si="23"/>
        <v>34528742</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85949000</v>
      </c>
      <c r="S97" s="146">
        <f>SUM(S63+S70+S81+S96)</f>
        <v>81247333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12000000</v>
      </c>
      <c r="C99" s="979">
        <v>12000000</v>
      </c>
      <c r="D99" s="979"/>
      <c r="E99" s="979">
        <f>C99-F99-G99</f>
        <v>4281</v>
      </c>
      <c r="F99" s="147">
        <f>34693639-34528742</f>
        <v>164897</v>
      </c>
      <c r="G99" s="147">
        <v>11830822</v>
      </c>
      <c r="H99" s="147"/>
      <c r="I99" s="147"/>
      <c r="J99" s="147"/>
      <c r="K99" s="147"/>
      <c r="L99" s="147"/>
      <c r="M99" s="147"/>
      <c r="N99" s="147"/>
      <c r="O99" s="147"/>
      <c r="P99" s="147"/>
      <c r="Q99" s="147"/>
      <c r="R99" s="516">
        <f>SUM(E99:Q99)</f>
        <v>12000000</v>
      </c>
      <c r="S99" s="147">
        <f>R99</f>
        <v>12000000</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12000000</v>
      </c>
      <c r="C104" s="146">
        <f>SUM(C99:C103)</f>
        <v>12000000</v>
      </c>
      <c r="D104" s="146">
        <f t="shared" ref="D104:T104" si="24">SUM(D99:D103)</f>
        <v>0</v>
      </c>
      <c r="E104" s="146">
        <f t="shared" si="24"/>
        <v>4281</v>
      </c>
      <c r="F104" s="146">
        <f t="shared" si="24"/>
        <v>164897</v>
      </c>
      <c r="G104" s="146">
        <f t="shared" si="24"/>
        <v>11830822</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12000000</v>
      </c>
      <c r="S104" s="150">
        <f t="shared" si="24"/>
        <v>12000000</v>
      </c>
      <c r="T104" s="150">
        <f t="shared" si="24"/>
        <v>0</v>
      </c>
      <c r="U104" s="143"/>
    </row>
    <row r="105" spans="1:21" s="144" customFormat="1">
      <c r="A105" s="149" t="s">
        <v>781</v>
      </c>
      <c r="B105" s="150">
        <f>SUM(C105:D105)</f>
        <v>97949000</v>
      </c>
      <c r="C105" s="150">
        <f t="shared" ref="C105:R105" si="25">SUM(C97+C104)</f>
        <v>97949000</v>
      </c>
      <c r="D105" s="150">
        <f t="shared" si="25"/>
        <v>0</v>
      </c>
      <c r="E105" s="150">
        <f t="shared" si="25"/>
        <v>51424539</v>
      </c>
      <c r="F105" s="150">
        <f t="shared" si="25"/>
        <v>34693639</v>
      </c>
      <c r="G105" s="150">
        <f t="shared" si="25"/>
        <v>11830822</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97949000</v>
      </c>
      <c r="S105" s="150">
        <f>S97+S104</f>
        <v>93247333</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93247333</v>
      </c>
      <c r="T107" s="150">
        <f>T105+T106</f>
        <v>0</v>
      </c>
    </row>
    <row r="108" spans="1:21" s="189" customFormat="1">
      <c r="A108" s="162" t="s">
        <v>880</v>
      </c>
      <c r="B108" s="157"/>
      <c r="C108" s="157"/>
      <c r="D108" s="157"/>
      <c r="E108" s="301">
        <f>Application!AO640</f>
        <v>51424539</v>
      </c>
      <c r="F108" s="301">
        <f>Application!AO627</f>
        <v>34693639</v>
      </c>
      <c r="G108" s="301">
        <f>Application!AO628</f>
        <v>11830822</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E1048576 G1:XFD1048576 F1:F32 F34:F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E13" sqref="E1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3500000</v>
      </c>
      <c r="C4" s="362">
        <f>B4</f>
        <v>3500000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3500000</v>
      </c>
      <c r="C8" s="361">
        <f>SUM(C4:C7)</f>
        <v>3500000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3500000</v>
      </c>
      <c r="C12" s="361">
        <f>SUM(C8+C11)</f>
        <v>3500000</v>
      </c>
      <c r="D12" s="361">
        <f>SUM(D8+D11)</f>
        <v>0</v>
      </c>
      <c r="E12" s="363"/>
      <c r="F12" s="363"/>
      <c r="G12" s="363"/>
      <c r="H12" s="363"/>
      <c r="I12" s="363"/>
      <c r="J12" s="363"/>
      <c r="K12" s="359"/>
    </row>
    <row r="13" spans="1:11" s="360" customFormat="1">
      <c r="A13" s="366" t="s">
        <v>903</v>
      </c>
      <c r="B13" s="361">
        <f>'Sources and Uses Budget'!C13</f>
        <v>0</v>
      </c>
      <c r="C13" s="362">
        <f>B13</f>
        <v>0</v>
      </c>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1563337</v>
      </c>
      <c r="C29" s="362">
        <f>B29</f>
        <v>1563337</v>
      </c>
      <c r="D29" s="362"/>
      <c r="E29" s="361">
        <f>'Sources and Uses Budget'!S29</f>
        <v>1563337</v>
      </c>
      <c r="F29" s="362">
        <f>E29</f>
        <v>1563337</v>
      </c>
      <c r="G29" s="362"/>
      <c r="H29" s="361">
        <f>'Sources and Uses Budget'!T29</f>
        <v>0</v>
      </c>
      <c r="I29" s="362"/>
      <c r="J29" s="362"/>
      <c r="K29" s="359"/>
    </row>
    <row r="30" spans="1:11" s="360" customFormat="1">
      <c r="A30" s="145" t="s">
        <v>600</v>
      </c>
      <c r="B30" s="361">
        <f>'Sources and Uses Budget'!C30</f>
        <v>48337344</v>
      </c>
      <c r="C30" s="362">
        <f>B30</f>
        <v>48337344</v>
      </c>
      <c r="D30" s="362"/>
      <c r="E30" s="361">
        <f>'Sources and Uses Budget'!S30</f>
        <v>48337344</v>
      </c>
      <c r="F30" s="362">
        <f>E30</f>
        <v>48337344</v>
      </c>
      <c r="G30" s="362"/>
      <c r="H30" s="361">
        <f>'Sources and Uses Budget'!T30</f>
        <v>0</v>
      </c>
      <c r="I30" s="362"/>
      <c r="J30" s="362"/>
      <c r="K30" s="359"/>
    </row>
    <row r="31" spans="1:11" s="360" customFormat="1">
      <c r="A31" s="145" t="s">
        <v>601</v>
      </c>
      <c r="B31" s="361">
        <f>'Sources and Uses Budget'!C31</f>
        <v>634172</v>
      </c>
      <c r="C31" s="362">
        <f t="shared" ref="C31:C33" si="0">B31</f>
        <v>634172</v>
      </c>
      <c r="D31" s="362"/>
      <c r="E31" s="361">
        <f>'Sources and Uses Budget'!S31</f>
        <v>634172</v>
      </c>
      <c r="F31" s="362">
        <f>E31</f>
        <v>634172</v>
      </c>
      <c r="G31" s="362"/>
      <c r="H31" s="361">
        <f>'Sources and Uses Budget'!T31</f>
        <v>0</v>
      </c>
      <c r="I31" s="362"/>
      <c r="J31" s="362"/>
      <c r="K31" s="359"/>
    </row>
    <row r="32" spans="1:11" s="360" customFormat="1">
      <c r="A32" s="145" t="s">
        <v>137</v>
      </c>
      <c r="B32" s="361">
        <f>'Sources and Uses Budget'!C32</f>
        <v>2339792</v>
      </c>
      <c r="C32" s="362">
        <f t="shared" si="0"/>
        <v>2339792</v>
      </c>
      <c r="D32" s="362"/>
      <c r="E32" s="361">
        <f>'Sources and Uses Budget'!S32</f>
        <v>2339792</v>
      </c>
      <c r="F32" s="362">
        <f>E32</f>
        <v>2339792</v>
      </c>
      <c r="G32" s="362"/>
      <c r="H32" s="361">
        <f>'Sources and Uses Budget'!T32</f>
        <v>0</v>
      </c>
      <c r="I32" s="362"/>
      <c r="J32" s="362"/>
      <c r="K32" s="359"/>
    </row>
    <row r="33" spans="1:11" s="360" customFormat="1">
      <c r="A33" s="145" t="s">
        <v>138</v>
      </c>
      <c r="B33" s="361">
        <f>'Sources and Uses Budget'!C33</f>
        <v>2362678</v>
      </c>
      <c r="C33" s="362">
        <f t="shared" si="0"/>
        <v>2362678</v>
      </c>
      <c r="D33" s="362"/>
      <c r="E33" s="361">
        <f>'Sources and Uses Budget'!S33</f>
        <v>2362678</v>
      </c>
      <c r="F33" s="362">
        <f>E33</f>
        <v>2362678</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393000</v>
      </c>
      <c r="C35" s="362">
        <f>B35</f>
        <v>393000</v>
      </c>
      <c r="D35" s="362"/>
      <c r="E35" s="361">
        <f>'Sources and Uses Budget'!S35</f>
        <v>393000</v>
      </c>
      <c r="F35" s="362">
        <f>E35</f>
        <v>393000</v>
      </c>
      <c r="G35" s="362"/>
      <c r="H35" s="361">
        <f>'Sources and Uses Budget'!T35</f>
        <v>0</v>
      </c>
      <c r="I35" s="362"/>
      <c r="J35" s="362"/>
      <c r="K35" s="359"/>
    </row>
    <row r="36" spans="1:11" s="360" customFormat="1">
      <c r="A36" s="508" t="s">
        <v>1641</v>
      </c>
      <c r="B36" s="361">
        <f>'Sources and Uses Budget'!C36</f>
        <v>1300000</v>
      </c>
      <c r="C36" s="362">
        <f>B36</f>
        <v>1300000</v>
      </c>
      <c r="D36" s="362"/>
      <c r="E36" s="361">
        <f>'Sources and Uses Budget'!S36</f>
        <v>1300000</v>
      </c>
      <c r="F36" s="362">
        <f>E36</f>
        <v>1300000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56930323</v>
      </c>
      <c r="C38" s="361">
        <f>SUM(C29:C37)</f>
        <v>56930323</v>
      </c>
      <c r="D38" s="361">
        <f>SUM(D29:D37)</f>
        <v>0</v>
      </c>
      <c r="E38" s="361">
        <f>'Sources and Uses Budget'!S38</f>
        <v>56930323</v>
      </c>
      <c r="F38" s="367">
        <f>SUM(F29:F37)</f>
        <v>56930323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f>B40</f>
        <v>1500000</v>
      </c>
      <c r="D40" s="362"/>
      <c r="E40" s="361">
        <f>'Sources and Uses Budget'!S40</f>
        <v>1500000</v>
      </c>
      <c r="F40" s="362">
        <f>E40</f>
        <v>1500000</v>
      </c>
      <c r="G40" s="362"/>
      <c r="H40" s="361">
        <f>'Sources and Uses Budget'!T40</f>
        <v>0</v>
      </c>
      <c r="I40" s="362"/>
      <c r="J40" s="362"/>
      <c r="K40" s="359"/>
    </row>
    <row r="41" spans="1:11" s="360" customFormat="1">
      <c r="A41" s="364" t="s">
        <v>146</v>
      </c>
      <c r="B41" s="361">
        <f>'Sources and Uses Budget'!C41</f>
        <v>150000</v>
      </c>
      <c r="C41" s="362">
        <f>B41</f>
        <v>150000</v>
      </c>
      <c r="D41" s="362"/>
      <c r="E41" s="361">
        <f>'Sources and Uses Budget'!S41</f>
        <v>150000</v>
      </c>
      <c r="F41" s="362">
        <f>E41</f>
        <v>150000</v>
      </c>
      <c r="G41" s="362"/>
      <c r="H41" s="361">
        <f>'Sources and Uses Budget'!T41</f>
        <v>0</v>
      </c>
      <c r="I41" s="362"/>
      <c r="J41" s="362"/>
      <c r="K41" s="359"/>
    </row>
    <row r="42" spans="1:11" s="360" customFormat="1">
      <c r="A42" s="365" t="s">
        <v>147</v>
      </c>
      <c r="B42" s="361">
        <f>'Sources and Uses Budget'!C42</f>
        <v>1650000</v>
      </c>
      <c r="C42" s="361">
        <f>SUM(C39:C41)</f>
        <v>1650000</v>
      </c>
      <c r="D42" s="361">
        <f>SUM(D39:D41)</f>
        <v>0</v>
      </c>
      <c r="E42" s="361">
        <f>'Sources and Uses Budget'!S42</f>
        <v>1650000</v>
      </c>
      <c r="F42" s="367">
        <f>SUM(F40:F41)</f>
        <v>1650000</v>
      </c>
      <c r="G42" s="367">
        <f>SUM(G40:G41)</f>
        <v>0</v>
      </c>
      <c r="H42" s="361">
        <f>'Sources and Uses Budget'!T42</f>
        <v>0</v>
      </c>
      <c r="I42" s="367">
        <f>SUM(I40:I41)</f>
        <v>0</v>
      </c>
      <c r="J42" s="367">
        <f>SUM(J40:J41)</f>
        <v>0</v>
      </c>
      <c r="K42" s="359"/>
    </row>
    <row r="43" spans="1:11" s="360" customFormat="1">
      <c r="A43" s="365" t="s">
        <v>148</v>
      </c>
      <c r="B43" s="361">
        <f>'Sources and Uses Budget'!C43</f>
        <v>1750000</v>
      </c>
      <c r="C43" s="362">
        <f>B43</f>
        <v>1750000</v>
      </c>
      <c r="D43" s="362"/>
      <c r="E43" s="361">
        <f>'Sources and Uses Budget'!S43</f>
        <v>1750000</v>
      </c>
      <c r="F43" s="362">
        <f>E43</f>
        <v>1750000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8033500</v>
      </c>
      <c r="C45" s="362">
        <f>B45</f>
        <v>8033500</v>
      </c>
      <c r="D45" s="362"/>
      <c r="E45" s="361">
        <f>'Sources and Uses Budget'!S45</f>
        <v>7751833</v>
      </c>
      <c r="F45" s="362">
        <f>E45</f>
        <v>7751833</v>
      </c>
      <c r="G45" s="362"/>
      <c r="H45" s="361">
        <f>'Sources and Uses Budget'!T45</f>
        <v>0</v>
      </c>
      <c r="I45" s="362"/>
      <c r="J45" s="362"/>
      <c r="K45" s="359"/>
    </row>
    <row r="46" spans="1:11" s="360" customFormat="1">
      <c r="A46" s="364" t="s">
        <v>151</v>
      </c>
      <c r="B46" s="361">
        <f>'Sources and Uses Budget'!C46</f>
        <v>710000</v>
      </c>
      <c r="C46" s="362">
        <f>B46</f>
        <v>710000</v>
      </c>
      <c r="D46" s="362"/>
      <c r="E46" s="361">
        <f>'Sources and Uses Budget'!S46</f>
        <v>710000</v>
      </c>
      <c r="F46" s="362">
        <f>E46</f>
        <v>710000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462000</v>
      </c>
      <c r="C49" s="362">
        <f>B49</f>
        <v>462000</v>
      </c>
      <c r="D49" s="362"/>
      <c r="E49" s="361">
        <f>'Sources and Uses Budget'!S49</f>
        <v>462000</v>
      </c>
      <c r="F49" s="362">
        <f>E49</f>
        <v>462000</v>
      </c>
      <c r="G49" s="362"/>
      <c r="H49" s="361">
        <f>'Sources and Uses Budget'!T49</f>
        <v>0</v>
      </c>
      <c r="I49" s="362"/>
      <c r="J49" s="362"/>
      <c r="K49" s="359"/>
    </row>
    <row r="50" spans="1:11" s="360" customFormat="1">
      <c r="A50" s="364" t="s">
        <v>156</v>
      </c>
      <c r="B50" s="361">
        <f>'Sources and Uses Budget'!C50</f>
        <v>100000</v>
      </c>
      <c r="C50" s="362">
        <f>B50</f>
        <v>100000</v>
      </c>
      <c r="D50" s="362"/>
      <c r="E50" s="361">
        <f>'Sources and Uses Budget'!S50</f>
        <v>100000</v>
      </c>
      <c r="F50" s="362">
        <f>E50</f>
        <v>100000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1200000</v>
      </c>
      <c r="C52" s="362">
        <f>B52</f>
        <v>1200000</v>
      </c>
      <c r="D52" s="362"/>
      <c r="E52" s="361">
        <f>'Sources and Uses Budget'!S52</f>
        <v>1200000</v>
      </c>
      <c r="F52" s="362">
        <f>E52</f>
        <v>1200000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10505500</v>
      </c>
      <c r="C54" s="367">
        <f>SUM(C45:C53)</f>
        <v>10505500</v>
      </c>
      <c r="D54" s="367">
        <f>SUM(D45:D53)</f>
        <v>0</v>
      </c>
      <c r="E54" s="361">
        <f>'Sources and Uses Budget'!S54</f>
        <v>10223833</v>
      </c>
      <c r="F54" s="367">
        <f>SUM(F45:F53)</f>
        <v>10223833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70000</v>
      </c>
      <c r="C56" s="362">
        <f>B56</f>
        <v>70000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70000</v>
      </c>
      <c r="C62" s="361">
        <f>SUM(C56:C61)</f>
        <v>70000</v>
      </c>
      <c r="D62" s="361">
        <f>SUM(D56:D61)</f>
        <v>0</v>
      </c>
      <c r="E62" s="363"/>
      <c r="F62" s="363"/>
      <c r="G62" s="363"/>
      <c r="H62" s="363"/>
      <c r="I62" s="363"/>
      <c r="J62" s="363"/>
      <c r="K62" s="359"/>
    </row>
    <row r="63" spans="1:11" s="360" customFormat="1">
      <c r="A63" s="370" t="s">
        <v>302</v>
      </c>
      <c r="B63" s="361">
        <f>'Sources and Uses Budget'!C63</f>
        <v>74405823</v>
      </c>
      <c r="C63" s="361">
        <f>SUM(C8+C11+C13+C14+C15+C26+C27+C38+C42+C43+C54+C62)</f>
        <v>74405823</v>
      </c>
      <c r="D63" s="361">
        <f>SUM(D8+D11+D13+D14+D15+D26+D27+D38+D42+D43+D54+D62)</f>
        <v>0</v>
      </c>
      <c r="E63" s="361">
        <f>'Sources and Uses Budget'!S63</f>
        <v>70554156</v>
      </c>
      <c r="F63" s="361">
        <f>SUM(F10+F13+F14+F15+F26+F27+F38+F42+F43+F54)</f>
        <v>70554156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135000</v>
      </c>
      <c r="C65" s="362">
        <f>B65</f>
        <v>135000</v>
      </c>
      <c r="D65" s="362"/>
      <c r="E65" s="361">
        <f>'Sources and Uses Budget'!S65</f>
        <v>135000</v>
      </c>
      <c r="F65" s="362">
        <f>E65</f>
        <v>135000</v>
      </c>
      <c r="G65" s="362"/>
      <c r="H65" s="361">
        <f>'Sources and Uses Budget'!T65</f>
        <v>0</v>
      </c>
      <c r="I65" s="362"/>
      <c r="J65" s="362"/>
      <c r="K65" s="359"/>
    </row>
    <row r="66" spans="1:11" s="360" customFormat="1" ht="24">
      <c r="A66" s="283" t="s">
        <v>1642</v>
      </c>
      <c r="B66" s="361">
        <f>'Sources and Uses Budget'!C66</f>
        <v>100000</v>
      </c>
      <c r="C66" s="362">
        <f>B66</f>
        <v>100000</v>
      </c>
      <c r="D66" s="362"/>
      <c r="E66" s="361">
        <f>'Sources and Uses Budget'!S66</f>
        <v>100000</v>
      </c>
      <c r="F66" s="362">
        <f>E66</f>
        <v>100000</v>
      </c>
      <c r="G66" s="362"/>
      <c r="H66" s="361">
        <f>'Sources and Uses Budget'!T66</f>
        <v>0</v>
      </c>
      <c r="I66" s="362"/>
      <c r="J66" s="362"/>
      <c r="K66" s="359"/>
    </row>
    <row r="67" spans="1:11" s="360" customFormat="1" ht="24">
      <c r="A67" s="283" t="s">
        <v>1643</v>
      </c>
      <c r="B67" s="361">
        <f>'Sources and Uses Budget'!C67</f>
        <v>4250000</v>
      </c>
      <c r="C67" s="362">
        <f>B67</f>
        <v>4250000</v>
      </c>
      <c r="D67" s="362"/>
      <c r="E67" s="361">
        <f>'Sources and Uses Budget'!S67</f>
        <v>4250000</v>
      </c>
      <c r="F67" s="362">
        <f>E67</f>
        <v>4250000</v>
      </c>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Transaction Legal</v>
      </c>
      <c r="B69" s="361">
        <f>'Sources and Uses Budget'!C69</f>
        <v>120000</v>
      </c>
      <c r="C69" s="362">
        <f>B69</f>
        <v>120000</v>
      </c>
      <c r="D69" s="362"/>
      <c r="E69" s="361">
        <f>'Sources and Uses Budget'!S69</f>
        <v>120000</v>
      </c>
      <c r="F69" s="362">
        <f>E69</f>
        <v>120000</v>
      </c>
      <c r="G69" s="362"/>
      <c r="H69" s="361">
        <f>'Sources and Uses Budget'!T69</f>
        <v>0</v>
      </c>
      <c r="I69" s="362"/>
      <c r="J69" s="362"/>
      <c r="K69" s="359"/>
    </row>
    <row r="70" spans="1:11" s="360" customFormat="1">
      <c r="A70" s="365" t="s">
        <v>602</v>
      </c>
      <c r="B70" s="361">
        <f>'Sources and Uses Budget'!C70</f>
        <v>4605000</v>
      </c>
      <c r="C70" s="361">
        <f>SUM(C64:C69)</f>
        <v>4605000</v>
      </c>
      <c r="D70" s="361">
        <f>SUM(D64:D69)</f>
        <v>0</v>
      </c>
      <c r="E70" s="361">
        <f>'Sources and Uses Budget'!S70</f>
        <v>4605000</v>
      </c>
      <c r="F70" s="367">
        <f>SUM(F65:F69)</f>
        <v>4605000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800000</v>
      </c>
      <c r="C75" s="362">
        <f>B75</f>
        <v>800000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800000</v>
      </c>
      <c r="C77" s="361">
        <f>SUM(C72:C76)</f>
        <v>800000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3629000</v>
      </c>
      <c r="C79" s="362">
        <f>B79</f>
        <v>3629000</v>
      </c>
      <c r="D79" s="362"/>
      <c r="E79" s="361">
        <f>'Sources and Uses Budget'!S79</f>
        <v>3629000</v>
      </c>
      <c r="F79" s="362">
        <f>E79</f>
        <v>3629000</v>
      </c>
      <c r="G79" s="362"/>
      <c r="H79" s="361">
        <f>'Sources and Uses Budget'!T79</f>
        <v>0</v>
      </c>
      <c r="I79" s="362"/>
      <c r="J79" s="362"/>
      <c r="K79" s="359"/>
    </row>
    <row r="80" spans="1:11" s="360" customFormat="1">
      <c r="A80" s="364" t="s">
        <v>58</v>
      </c>
      <c r="B80" s="361">
        <f>'Sources and Uses Budget'!C80</f>
        <v>966500</v>
      </c>
      <c r="C80" s="362">
        <f>B80</f>
        <v>966500</v>
      </c>
      <c r="D80" s="362"/>
      <c r="E80" s="361">
        <f>'Sources and Uses Budget'!S80</f>
        <v>966500</v>
      </c>
      <c r="F80" s="362">
        <f>E80</f>
        <v>966500</v>
      </c>
      <c r="G80" s="362"/>
      <c r="H80" s="361">
        <f>'Sources and Uses Budget'!T80</f>
        <v>0</v>
      </c>
      <c r="I80" s="362"/>
      <c r="J80" s="362"/>
      <c r="K80" s="359"/>
    </row>
    <row r="81" spans="1:11" s="360" customFormat="1">
      <c r="A81" s="365" t="s">
        <v>1210</v>
      </c>
      <c r="B81" s="361">
        <f>'Sources and Uses Budget'!C81</f>
        <v>4595500</v>
      </c>
      <c r="C81" s="361">
        <f>SUM(C79:C80)</f>
        <v>4595500</v>
      </c>
      <c r="D81" s="361">
        <f>SUM(D79:D80)</f>
        <v>0</v>
      </c>
      <c r="E81" s="361">
        <f>'Sources and Uses Budget'!S81</f>
        <v>4595500</v>
      </c>
      <c r="F81" s="361">
        <f>SUM(F79:F80)</f>
        <v>4595500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0</v>
      </c>
      <c r="C83" s="362"/>
      <c r="D83" s="362"/>
      <c r="E83" s="363"/>
      <c r="F83" s="363"/>
      <c r="G83" s="363"/>
      <c r="H83" s="363"/>
      <c r="I83" s="363"/>
      <c r="J83" s="363"/>
      <c r="K83" s="359"/>
    </row>
    <row r="84" spans="1:11" s="360" customFormat="1">
      <c r="A84" s="145" t="s">
        <v>768</v>
      </c>
      <c r="B84" s="361">
        <f>'Sources and Uses Budget'!C84</f>
        <v>50000</v>
      </c>
      <c r="C84" s="362">
        <f>B84</f>
        <v>50000</v>
      </c>
      <c r="D84" s="362"/>
      <c r="E84" s="361">
        <f>'Sources and Uses Budget'!S84</f>
        <v>50000</v>
      </c>
      <c r="F84" s="362">
        <f>E84</f>
        <v>50000</v>
      </c>
      <c r="G84" s="362"/>
      <c r="H84" s="361">
        <f>'Sources and Uses Budget'!T84</f>
        <v>0</v>
      </c>
      <c r="I84" s="362"/>
      <c r="J84" s="362"/>
      <c r="K84" s="359"/>
    </row>
    <row r="85" spans="1:11" s="360" customFormat="1">
      <c r="A85" s="145" t="s">
        <v>769</v>
      </c>
      <c r="B85" s="361">
        <f>'Sources and Uses Budget'!C85</f>
        <v>0</v>
      </c>
      <c r="C85" s="362">
        <f>B85</f>
        <v>0</v>
      </c>
      <c r="D85" s="362"/>
      <c r="E85" s="361">
        <f>'Sources and Uses Budget'!S85</f>
        <v>0</v>
      </c>
      <c r="F85" s="362">
        <f>E85</f>
        <v>0</v>
      </c>
      <c r="G85" s="362"/>
      <c r="H85" s="361">
        <f>'Sources and Uses Budget'!T85</f>
        <v>0</v>
      </c>
      <c r="I85" s="362"/>
      <c r="J85" s="362"/>
      <c r="K85" s="359"/>
    </row>
    <row r="86" spans="1:11" s="360" customFormat="1">
      <c r="A86" s="145" t="s">
        <v>770</v>
      </c>
      <c r="B86" s="361">
        <f>'Sources and Uses Budget'!C86</f>
        <v>1077677</v>
      </c>
      <c r="C86" s="362">
        <f>B86</f>
        <v>1077677</v>
      </c>
      <c r="D86" s="362"/>
      <c r="E86" s="361">
        <f>'Sources and Uses Budget'!S86</f>
        <v>1077677</v>
      </c>
      <c r="F86" s="362">
        <f>E86</f>
        <v>1077677</v>
      </c>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c r="D88" s="362"/>
      <c r="E88" s="363"/>
      <c r="F88" s="363"/>
      <c r="G88" s="363"/>
      <c r="H88" s="363"/>
      <c r="I88" s="363"/>
      <c r="J88" s="363"/>
      <c r="K88" s="359"/>
    </row>
    <row r="89" spans="1:11" s="360" customFormat="1">
      <c r="A89" s="145" t="s">
        <v>773</v>
      </c>
      <c r="B89" s="361">
        <f>'Sources and Uses Budget'!C89</f>
        <v>350000</v>
      </c>
      <c r="C89" s="362">
        <f>B89</f>
        <v>350000</v>
      </c>
      <c r="D89" s="362"/>
      <c r="E89" s="361">
        <f>'Sources and Uses Budget'!S89</f>
        <v>350000</v>
      </c>
      <c r="F89" s="362">
        <f>E89</f>
        <v>350000</v>
      </c>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50000</v>
      </c>
      <c r="C91" s="362">
        <f>B91</f>
        <v>50000</v>
      </c>
      <c r="D91" s="362"/>
      <c r="E91" s="361">
        <f>'Sources and Uses Budget'!S91</f>
        <v>0</v>
      </c>
      <c r="F91" s="362"/>
      <c r="G91" s="362"/>
      <c r="H91" s="361">
        <f>'Sources and Uses Budget'!T91</f>
        <v>0</v>
      </c>
      <c r="I91" s="362"/>
      <c r="J91" s="362"/>
      <c r="K91" s="359"/>
    </row>
    <row r="92" spans="1:11" s="360" customFormat="1">
      <c r="A92" s="508" t="s">
        <v>1212</v>
      </c>
      <c r="B92" s="361">
        <f>'Sources and Uses Budget'!C92</f>
        <v>15000</v>
      </c>
      <c r="C92" s="362">
        <f>B92</f>
        <v>15000</v>
      </c>
      <c r="D92" s="362"/>
      <c r="E92" s="361">
        <f>'Sources and Uses Budget'!S92</f>
        <v>15000</v>
      </c>
      <c r="F92" s="362">
        <f>E92</f>
        <v>15000</v>
      </c>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1542677</v>
      </c>
      <c r="C96" s="361">
        <f>SUM(C83:C95)</f>
        <v>1542677</v>
      </c>
      <c r="D96" s="361">
        <f>SUM(D83:D95)</f>
        <v>0</v>
      </c>
      <c r="E96" s="361">
        <f>'Sources and Uses Budget'!S96</f>
        <v>1492677</v>
      </c>
      <c r="F96" s="367">
        <f>SUM(F84:F87,F89:F95)</f>
        <v>1492677</v>
      </c>
      <c r="G96" s="367">
        <f>SUM(G84:G87,G89:G95)</f>
        <v>0</v>
      </c>
      <c r="H96" s="361">
        <f>'Sources and Uses Budget'!T96</f>
        <v>0</v>
      </c>
      <c r="I96" s="361">
        <f>SUM(I84:I87,I89:I95)</f>
        <v>0</v>
      </c>
      <c r="J96" s="361">
        <f>SUM(J84:J87,J89:J95)</f>
        <v>0</v>
      </c>
      <c r="K96" s="359"/>
    </row>
    <row r="97" spans="1:11" s="360" customFormat="1">
      <c r="A97" s="365" t="s">
        <v>1030</v>
      </c>
      <c r="B97" s="361">
        <f>'Sources and Uses Budget'!C97</f>
        <v>85949000</v>
      </c>
      <c r="C97" s="361">
        <f>SUM(C63+C70+C77+C81+C96)</f>
        <v>85949000</v>
      </c>
      <c r="D97" s="361">
        <f>SUM(D63+D70+D77+D81+D96)</f>
        <v>0</v>
      </c>
      <c r="E97" s="361">
        <f>'Sources and Uses Budget'!S97</f>
        <v>81247333</v>
      </c>
      <c r="F97" s="367">
        <f>SUM(+F63+F70+F81+F96)</f>
        <v>81247333</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12000000</v>
      </c>
      <c r="C99" s="362">
        <f>B99</f>
        <v>12000000</v>
      </c>
      <c r="D99" s="362"/>
      <c r="E99" s="361">
        <f>'Sources and Uses Budget'!S99</f>
        <v>12000000</v>
      </c>
      <c r="F99" s="362">
        <f>E99</f>
        <v>12000000</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12000000</v>
      </c>
      <c r="C104" s="361">
        <f>SUM(C99:C103)</f>
        <v>12000000</v>
      </c>
      <c r="D104" s="361">
        <f>SUM(D99:D103)</f>
        <v>0</v>
      </c>
      <c r="E104" s="361">
        <f>'Sources and Uses Budget'!S104</f>
        <v>12000000</v>
      </c>
      <c r="F104" s="367">
        <f>SUM(F99:F103)</f>
        <v>12000000</v>
      </c>
      <c r="G104" s="367">
        <f>SUM(G99:G103)</f>
        <v>0</v>
      </c>
      <c r="H104" s="361">
        <f>'Sources and Uses Budget'!T104</f>
        <v>0</v>
      </c>
      <c r="I104" s="367">
        <f>SUM(I99:I103)</f>
        <v>0</v>
      </c>
      <c r="J104" s="367">
        <f>SUM(J99:J103)</f>
        <v>0</v>
      </c>
      <c r="K104" s="359"/>
    </row>
    <row r="105" spans="1:11" s="360" customFormat="1">
      <c r="A105" s="365" t="s">
        <v>1031</v>
      </c>
      <c r="B105" s="361">
        <f>'Sources and Uses Budget'!C105</f>
        <v>97949000</v>
      </c>
      <c r="C105" s="367">
        <f>SUM(C97+C104)</f>
        <v>97949000</v>
      </c>
      <c r="D105" s="367">
        <f>SUM(D97+D104)</f>
        <v>0</v>
      </c>
      <c r="E105" s="361">
        <f>'Sources and Uses Budget'!S105</f>
        <v>93247333</v>
      </c>
      <c r="F105" s="367">
        <f>F97+F104</f>
        <v>93247333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93247333</v>
      </c>
      <c r="F107" s="367">
        <f>F105+F106</f>
        <v>93247333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BR97" sqref="BR97"/>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0" t="s">
        <v>2459</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2458</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West Hills Family Apartments</v>
      </c>
      <c r="M4" s="2313"/>
      <c r="N4" s="2313"/>
      <c r="O4" s="2313"/>
      <c r="P4" s="2313"/>
      <c r="Q4" s="2313"/>
      <c r="R4" s="2313"/>
      <c r="S4" s="2313"/>
      <c r="T4" s="2313"/>
      <c r="U4" s="2313"/>
      <c r="V4" s="2313"/>
      <c r="W4" s="2313"/>
      <c r="X4" s="2313"/>
      <c r="Y4" s="2313"/>
      <c r="Z4" s="2313"/>
      <c r="AA4" s="2313"/>
      <c r="AB4" s="2313"/>
      <c r="AC4" s="2314"/>
      <c r="AD4" s="1190"/>
      <c r="AE4" s="1190"/>
      <c r="AF4" s="2308" t="s">
        <v>2457</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2456</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2" t="str">
        <f>IF(Application!H16="","",Application!H16)</f>
        <v>Las Palmas Foundation</v>
      </c>
      <c r="M6" s="2313"/>
      <c r="N6" s="2313"/>
      <c r="O6" s="2313"/>
      <c r="P6" s="2313"/>
      <c r="Q6" s="2313"/>
      <c r="R6" s="2313"/>
      <c r="S6" s="2313"/>
      <c r="T6" s="2313"/>
      <c r="U6" s="2313"/>
      <c r="V6" s="2313"/>
      <c r="W6" s="2313"/>
      <c r="X6" s="2313"/>
      <c r="Y6" s="2313"/>
      <c r="Z6" s="2313"/>
      <c r="AA6" s="2313"/>
      <c r="AB6" s="2313"/>
      <c r="AC6" s="2314"/>
      <c r="AD6" s="1190"/>
      <c r="AE6" s="1190"/>
      <c r="AF6" s="2315" t="s">
        <v>2454</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2453</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2451</v>
      </c>
      <c r="AG8" s="2315"/>
      <c r="AH8" s="2315"/>
      <c r="AI8" s="2315"/>
      <c r="AJ8" s="2315"/>
      <c r="AK8" s="2315"/>
      <c r="AL8" s="2315"/>
      <c r="AM8" s="2315"/>
      <c r="AN8" s="2315"/>
      <c r="AO8" s="2315"/>
      <c r="AP8" s="2316" t="s">
        <v>2100</v>
      </c>
      <c r="AQ8" s="2316"/>
      <c r="AR8" s="2316"/>
      <c r="AS8" s="2316"/>
      <c r="AT8" s="2316"/>
      <c r="AU8" s="2316"/>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2450</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1">
        <f>Application!AO627</f>
        <v>34693639</v>
      </c>
      <c r="O10" s="2311"/>
      <c r="P10" s="2311"/>
      <c r="Q10" s="2311"/>
      <c r="R10" s="2311"/>
      <c r="S10" s="2311"/>
      <c r="T10" s="2311"/>
      <c r="U10" s="1190"/>
      <c r="V10" s="1190"/>
      <c r="W10" s="1190"/>
      <c r="X10" s="1193"/>
      <c r="Y10" s="1193"/>
      <c r="Z10" s="1193"/>
      <c r="AA10" s="1193"/>
      <c r="AB10" s="1193"/>
      <c r="AC10" s="1193"/>
      <c r="AD10" s="1193"/>
      <c r="AE10" s="1193"/>
      <c r="AF10" s="2308" t="s">
        <v>2447</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2444</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9" t="s">
        <v>2442</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2441</v>
      </c>
      <c r="AB13" s="2289"/>
      <c r="AC13" s="2289"/>
      <c r="AD13" s="2289"/>
      <c r="AE13" s="2289"/>
      <c r="AF13" s="2289"/>
      <c r="AG13" s="2289"/>
      <c r="AH13" s="2289"/>
      <c r="AI13" s="2289"/>
      <c r="AJ13" s="2289"/>
      <c r="AK13" s="2289"/>
      <c r="AL13" s="2289"/>
      <c r="AM13" s="2289"/>
      <c r="AN13" s="2289"/>
      <c r="AO13" s="2305">
        <f>Application!W473</f>
        <v>25</v>
      </c>
      <c r="AP13" s="2306"/>
      <c r="AQ13" s="2306"/>
      <c r="AR13" s="2306"/>
      <c r="AS13" s="2306"/>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2439</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2438</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2437</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2436</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2435</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2434</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35</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20</v>
      </c>
      <c r="W19" s="2282"/>
      <c r="X19" s="2282"/>
      <c r="Y19" s="2282"/>
      <c r="Z19" s="2282"/>
      <c r="AA19" s="2283"/>
      <c r="AB19" s="2281" cm="1">
        <f t="array" ref="AB19">SUMPRODUCT((Application!$B$714:$B$738 = 'CalHFA Addendum'!AB$18)*(Application!$AC$714:$AC$738 = 'CalHFA Addendum'!$B19),Application!$G$714:$G$738)</f>
        <v>10</v>
      </c>
      <c r="AC19" s="2282"/>
      <c r="AD19" s="2282"/>
      <c r="AE19" s="2282"/>
      <c r="AF19" s="2282"/>
      <c r="AG19" s="2283"/>
      <c r="AH19" s="2281" cm="1">
        <f t="array" ref="AH19">SUMPRODUCT((Application!$B$714:$B$738 = 'CalHFA Addendum'!AH$18)*(Application!$AC$714:$AC$738 = 'CalHFA Addendum'!$B19),Application!$G$714:$G$738)</f>
        <v>5</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0.21875</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15</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10</v>
      </c>
      <c r="AC21" s="2282"/>
      <c r="AD21" s="2282"/>
      <c r="AE21" s="2282"/>
      <c r="AF21" s="2282"/>
      <c r="AG21" s="2283"/>
      <c r="AH21" s="2281" cm="1">
        <f t="array" ref="AH21">SUMPRODUCT((Application!$B$714:$B$738 = 'CalHFA Addendum'!AH$18)*(Application!$AC$714:$AC$738 = 'CalHFA Addendum'!$B21),Application!$G$714:$G$738)</f>
        <v>5</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9.375E-2</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46</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11</v>
      </c>
      <c r="W22" s="2282"/>
      <c r="X22" s="2282"/>
      <c r="Y22" s="2282"/>
      <c r="Z22" s="2282"/>
      <c r="AA22" s="2283"/>
      <c r="AB22" s="2281" cm="1">
        <f t="array" ref="AB22">SUMPRODUCT((Application!$B$714:$B$738 = 'CalHFA Addendum'!AB$18)*(Application!$AC$714:$AC$738 = 'CalHFA Addendum'!$B22),Application!$G$714:$G$738)</f>
        <v>35</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0.28749999999999998</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62</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25</v>
      </c>
      <c r="AC23" s="2282"/>
      <c r="AD23" s="2282"/>
      <c r="AE23" s="2282"/>
      <c r="AF23" s="2282"/>
      <c r="AG23" s="2283"/>
      <c r="AH23" s="2281" cm="1">
        <f t="array" ref="AH23">SUMPRODUCT((Application!$B$714:$B$738 = 'CalHFA Addendum'!AH$18)*(Application!$AC$714:$AC$738 = 'CalHFA Addendum'!$B23),Application!$G$714:$G$738)</f>
        <v>37</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0.38750000000000001</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2433</v>
      </c>
      <c r="C28" s="2270"/>
      <c r="D28" s="2270"/>
      <c r="E28" s="2270"/>
      <c r="F28" s="2270"/>
      <c r="G28" s="2270"/>
      <c r="H28" s="2270"/>
      <c r="I28" s="2271"/>
      <c r="J28" s="2272">
        <f>SUM(P28:AS28)</f>
        <v>2</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2</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1.2500000000000001E-2</v>
      </c>
      <c r="AU28" s="2276"/>
      <c r="AV28" s="2276"/>
      <c r="AW28" s="2276"/>
      <c r="AX28" s="2276"/>
      <c r="AY28" s="2277"/>
      <c r="AZ28" s="1190"/>
      <c r="BA28" s="1190"/>
      <c r="BB28" s="1190"/>
      <c r="BC28" s="1190"/>
      <c r="BD28" s="1190"/>
      <c r="BE28" s="1194"/>
    </row>
    <row r="29" spans="1:58" thickBot="1">
      <c r="A29" s="1190"/>
      <c r="B29" s="2252" t="s">
        <v>1587</v>
      </c>
      <c r="C29" s="2225"/>
      <c r="D29" s="2225"/>
      <c r="E29" s="2225"/>
      <c r="F29" s="2225"/>
      <c r="G29" s="2225"/>
      <c r="H29" s="2225"/>
      <c r="I29" s="2226"/>
      <c r="J29" s="2224">
        <f>SUM(J19:O28)</f>
        <v>160</v>
      </c>
      <c r="K29" s="2225"/>
      <c r="L29" s="2225"/>
      <c r="M29" s="2225"/>
      <c r="N29" s="2225"/>
      <c r="O29" s="2226"/>
      <c r="P29" s="2224">
        <f>SUM(P19:U28)</f>
        <v>0</v>
      </c>
      <c r="Q29" s="2225"/>
      <c r="R29" s="2225"/>
      <c r="S29" s="2225"/>
      <c r="T29" s="2225"/>
      <c r="U29" s="2226"/>
      <c r="V29" s="2224">
        <f>SUM(V19:AA28)</f>
        <v>31</v>
      </c>
      <c r="W29" s="2225"/>
      <c r="X29" s="2225"/>
      <c r="Y29" s="2225"/>
      <c r="Z29" s="2225"/>
      <c r="AA29" s="2226"/>
      <c r="AB29" s="2224">
        <f>SUM(AB19:AG28)</f>
        <v>82</v>
      </c>
      <c r="AC29" s="2225"/>
      <c r="AD29" s="2225"/>
      <c r="AE29" s="2225"/>
      <c r="AF29" s="2225"/>
      <c r="AG29" s="2226"/>
      <c r="AH29" s="2224">
        <f>SUM(AH19:AM28)</f>
        <v>47</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2432</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2431</v>
      </c>
      <c r="C32" s="2234"/>
      <c r="D32" s="2234"/>
      <c r="E32" s="2234"/>
      <c r="F32" s="2234"/>
      <c r="G32" s="2234"/>
      <c r="H32" s="2234"/>
      <c r="I32" s="2234"/>
      <c r="J32" s="2237" t="s">
        <v>2430</v>
      </c>
      <c r="K32" s="2238"/>
      <c r="L32" s="2238"/>
      <c r="M32" s="2238"/>
      <c r="N32" s="2237" t="s">
        <v>2429</v>
      </c>
      <c r="O32" s="2238"/>
      <c r="P32" s="2238"/>
      <c r="Q32" s="2240"/>
      <c r="R32" s="2242" t="s">
        <v>2428</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2427</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2426</v>
      </c>
      <c r="AT35" s="2254"/>
      <c r="AU35" s="2254"/>
      <c r="AV35" s="2254"/>
      <c r="AW35" s="2254"/>
      <c r="AX35" s="2262"/>
      <c r="AY35" s="2253" t="s">
        <v>2425</v>
      </c>
      <c r="AZ35" s="2254"/>
      <c r="BA35" s="2254"/>
      <c r="BB35" s="2254"/>
      <c r="BC35" s="2254"/>
      <c r="BD35" s="2255"/>
      <c r="BE35" s="1194"/>
    </row>
    <row r="36" spans="1:58" ht="15.75" customHeight="1">
      <c r="A36" s="1190"/>
      <c r="B36" s="2157" t="s">
        <v>2424</v>
      </c>
      <c r="C36" s="2158"/>
      <c r="D36" s="2158"/>
      <c r="E36" s="2158"/>
      <c r="F36" s="2158"/>
      <c r="G36" s="2158"/>
      <c r="H36" s="2158"/>
      <c r="I36" s="2158"/>
      <c r="J36" s="2222" t="s">
        <v>2423</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2422</v>
      </c>
      <c r="C37" s="2158"/>
      <c r="D37" s="2158"/>
      <c r="E37" s="2158"/>
      <c r="F37" s="2158"/>
      <c r="G37" s="2158"/>
      <c r="H37" s="2158"/>
      <c r="I37" s="2158"/>
      <c r="J37" s="2222" t="s">
        <v>2421</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2420</v>
      </c>
      <c r="C38" s="2158"/>
      <c r="D38" s="2158"/>
      <c r="E38" s="2158"/>
      <c r="F38" s="2158"/>
      <c r="G38" s="2158"/>
      <c r="H38" s="2158"/>
      <c r="I38" s="2158"/>
      <c r="J38" s="2222" t="s">
        <v>2419</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2418</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2418</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2417</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2417</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2416</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2415</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2414</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2338</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2411</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2404</v>
      </c>
      <c r="C51" s="2100"/>
      <c r="D51" s="2100"/>
      <c r="E51" s="2100"/>
      <c r="F51" s="2100"/>
      <c r="G51" s="2100"/>
      <c r="H51" s="2100"/>
      <c r="I51" s="2100"/>
      <c r="J51" s="2100" t="s">
        <v>2410</v>
      </c>
      <c r="K51" s="2100"/>
      <c r="L51" s="2100"/>
      <c r="M51" s="2100"/>
      <c r="N51" s="2100"/>
      <c r="O51" s="2100"/>
      <c r="P51" s="2100"/>
      <c r="Q51" s="2100"/>
      <c r="R51" s="2201" t="s">
        <v>2409</v>
      </c>
      <c r="S51" s="2201"/>
      <c r="T51" s="2201"/>
      <c r="U51" s="2201"/>
      <c r="V51" s="2201"/>
      <c r="W51" s="2201"/>
      <c r="X51" s="2201"/>
      <c r="Y51" s="2201"/>
      <c r="Z51" s="2201" t="s">
        <v>2408</v>
      </c>
      <c r="AA51" s="2201"/>
      <c r="AB51" s="2201"/>
      <c r="AC51" s="2201"/>
      <c r="AD51" s="2201"/>
      <c r="AE51" s="2201"/>
      <c r="AF51" s="2201"/>
      <c r="AG51" s="2201"/>
      <c r="AH51" s="2201" t="s">
        <v>2407</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2406</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2405</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1587</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2404</v>
      </c>
      <c r="C59" s="2191"/>
      <c r="D59" s="2191"/>
      <c r="E59" s="2191"/>
      <c r="F59" s="2191"/>
      <c r="G59" s="2191"/>
      <c r="H59" s="2191"/>
      <c r="I59" s="2192"/>
      <c r="J59" s="2098" t="s">
        <v>2403</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2401</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2400</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2399</v>
      </c>
    </row>
    <row r="69" spans="1:94" ht="15.75" customHeight="1" thickTop="1" thickBot="1">
      <c r="A69" s="1190"/>
      <c r="B69" s="2175" t="s">
        <v>2398</v>
      </c>
      <c r="C69" s="2176"/>
      <c r="D69" s="2176"/>
      <c r="E69" s="2176"/>
      <c r="F69" s="2176"/>
      <c r="G69" s="2176"/>
      <c r="H69" s="2176"/>
      <c r="I69" s="2176"/>
      <c r="J69" s="2176"/>
      <c r="K69" s="2176"/>
      <c r="L69" s="2176"/>
      <c r="M69" s="2176"/>
      <c r="N69" s="2176"/>
      <c r="O69" s="2177" t="s">
        <v>2397</v>
      </c>
      <c r="P69" s="2178"/>
      <c r="Q69" s="2178"/>
      <c r="R69" s="2178"/>
      <c r="S69" s="2178"/>
      <c r="T69" s="2178"/>
      <c r="U69" s="2178"/>
      <c r="V69" s="2178"/>
      <c r="W69" s="2178"/>
      <c r="X69" s="2178"/>
      <c r="Y69" s="2178"/>
      <c r="Z69" s="2178"/>
      <c r="AA69" s="2179"/>
      <c r="AB69" s="1190"/>
      <c r="AC69" s="2180" t="s">
        <v>2396</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2395</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2394</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2393</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2392</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2391</v>
      </c>
    </row>
    <row r="72" spans="1:94" ht="15.75" customHeight="1">
      <c r="A72" s="1190"/>
      <c r="B72" s="2157" t="s">
        <v>2390</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2389</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2388</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2333</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2386</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2385</v>
      </c>
      <c r="C81" s="2152"/>
      <c r="D81" s="2152"/>
      <c r="E81" s="2152"/>
      <c r="F81" s="2152"/>
      <c r="G81" s="2152"/>
      <c r="H81" s="2152"/>
      <c r="I81" s="2152"/>
      <c r="J81" s="2152"/>
      <c r="K81" s="2152"/>
      <c r="L81" s="2152"/>
      <c r="M81" s="2152"/>
      <c r="N81" s="2152"/>
      <c r="O81" s="2152"/>
      <c r="P81" s="2152"/>
      <c r="Q81" s="2152"/>
      <c r="R81" s="2133" t="s">
        <v>2190</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2384</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2383</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2373</v>
      </c>
      <c r="J84" s="2100"/>
      <c r="K84" s="2100"/>
      <c r="L84" s="2100"/>
      <c r="M84" s="2100"/>
      <c r="N84" s="2100"/>
      <c r="O84" s="2100" t="s">
        <v>2349</v>
      </c>
      <c r="P84" s="2100"/>
      <c r="Q84" s="2100"/>
      <c r="R84" s="2100"/>
      <c r="S84" s="2100"/>
      <c r="T84" s="2100"/>
      <c r="U84" s="2100"/>
      <c r="V84" s="2136" t="s">
        <v>2348</v>
      </c>
      <c r="W84" s="2136"/>
      <c r="X84" s="2136"/>
      <c r="Y84" s="2136"/>
      <c r="Z84" s="2136"/>
      <c r="AA84" s="2136"/>
      <c r="AB84" s="2070" t="s">
        <v>2372</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2371</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2370</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2377</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2369</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2381</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2380</v>
      </c>
      <c r="C94" s="2152"/>
      <c r="D94" s="2152"/>
      <c r="E94" s="2152"/>
      <c r="F94" s="2152"/>
      <c r="G94" s="2152"/>
      <c r="H94" s="2152"/>
      <c r="I94" s="2152"/>
      <c r="J94" s="2152"/>
      <c r="K94" s="2152"/>
      <c r="L94" s="2152"/>
      <c r="M94" s="2152"/>
      <c r="N94" s="2152"/>
      <c r="O94" s="2152"/>
      <c r="P94" s="2152"/>
      <c r="Q94" s="2153"/>
      <c r="R94" s="2133" t="s">
        <v>2190</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2379</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2378</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 xml:space="preserve">Las Palmas Foundation </v>
      </c>
      <c r="BR96" s="1259">
        <f>Application!AH246</f>
        <v>1E-3</v>
      </c>
      <c r="CM96" s="1188"/>
      <c r="CN96" s="1188"/>
      <c r="CO96" s="1188"/>
      <c r="CP96" s="1188"/>
    </row>
    <row r="97" spans="1:94" ht="15.75" customHeight="1">
      <c r="A97" s="1190"/>
      <c r="B97" s="2132"/>
      <c r="C97" s="2100"/>
      <c r="D97" s="2100"/>
      <c r="E97" s="2100"/>
      <c r="F97" s="2100"/>
      <c r="G97" s="2100"/>
      <c r="H97" s="2100"/>
      <c r="I97" s="2100" t="s">
        <v>2373</v>
      </c>
      <c r="J97" s="2100"/>
      <c r="K97" s="2100"/>
      <c r="L97" s="2100"/>
      <c r="M97" s="2100"/>
      <c r="N97" s="2100"/>
      <c r="O97" s="2100" t="s">
        <v>2349</v>
      </c>
      <c r="P97" s="2100"/>
      <c r="Q97" s="2100"/>
      <c r="R97" s="2100"/>
      <c r="S97" s="2100"/>
      <c r="T97" s="2100"/>
      <c r="U97" s="2100"/>
      <c r="V97" s="2136" t="s">
        <v>2348</v>
      </c>
      <c r="W97" s="2136"/>
      <c r="X97" s="2136"/>
      <c r="Y97" s="2136"/>
      <c r="Z97" s="2136"/>
      <c r="AA97" s="2136"/>
      <c r="AB97" s="2070" t="s">
        <v>2372</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Elysian West Hills, LLC (Capstone Equities, LLC // Elysian Housing, LLC)</v>
      </c>
      <c r="BR97" s="1259">
        <f>Application!AH254</f>
        <v>8.9999999999999993E-3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2371</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2370</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2377</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2369</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 xml:space="preserve">Aperto Property Management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2374</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2373</v>
      </c>
      <c r="J108" s="2100"/>
      <c r="K108" s="2100"/>
      <c r="L108" s="2100"/>
      <c r="M108" s="2100"/>
      <c r="N108" s="2100"/>
      <c r="O108" s="2100" t="s">
        <v>2349</v>
      </c>
      <c r="P108" s="2100"/>
      <c r="Q108" s="2100"/>
      <c r="R108" s="2100"/>
      <c r="S108" s="2100"/>
      <c r="T108" s="2100"/>
      <c r="U108" s="2100"/>
      <c r="V108" s="2136" t="s">
        <v>2348</v>
      </c>
      <c r="W108" s="2136"/>
      <c r="X108" s="2136"/>
      <c r="Y108" s="2136"/>
      <c r="Z108" s="2136"/>
      <c r="AA108" s="2136"/>
      <c r="AB108" s="2070" t="s">
        <v>2372</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2371</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2370</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2369</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2367</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2367</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2365</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2364</v>
      </c>
      <c r="J127" s="2100"/>
      <c r="K127" s="2100"/>
      <c r="L127" s="2100"/>
      <c r="M127" s="2100"/>
      <c r="N127" s="2100"/>
      <c r="O127" s="2101" t="s">
        <v>2363</v>
      </c>
      <c r="P127" s="2101"/>
      <c r="Q127" s="2101"/>
      <c r="R127" s="2101"/>
      <c r="S127" s="2101"/>
      <c r="T127" s="2101"/>
      <c r="U127" s="2102"/>
      <c r="V127" s="1190"/>
      <c r="W127" s="1190"/>
      <c r="X127" s="2040" t="s">
        <v>2333</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2347</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2346</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2361</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2349</v>
      </c>
      <c r="J134" s="2075"/>
      <c r="K134" s="2075"/>
      <c r="L134" s="2075"/>
      <c r="M134" s="2075"/>
      <c r="N134" s="2075"/>
      <c r="O134" s="2075"/>
      <c r="P134" s="2075" t="s">
        <v>2348</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2347</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2346</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2360</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2359</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2358</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2357</v>
      </c>
      <c r="C142" s="2083"/>
      <c r="D142" s="2083"/>
      <c r="E142" s="2083"/>
      <c r="F142" s="2083"/>
      <c r="G142" s="2083"/>
      <c r="H142" s="2083"/>
      <c r="I142" s="2083"/>
      <c r="J142" s="2083"/>
      <c r="K142" s="2083"/>
      <c r="L142" s="2083"/>
      <c r="M142" s="2083"/>
      <c r="N142" s="2083"/>
      <c r="O142" s="2083"/>
      <c r="P142" s="2083"/>
      <c r="Q142" s="2083"/>
      <c r="R142" s="2084" t="s">
        <v>2356</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2355</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2352</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2351</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2349</v>
      </c>
      <c r="J157" s="2075"/>
      <c r="K157" s="2075"/>
      <c r="L157" s="2075"/>
      <c r="M157" s="2075"/>
      <c r="N157" s="2075"/>
      <c r="O157" s="2075"/>
      <c r="P157" s="2075" t="s">
        <v>2350</v>
      </c>
      <c r="Q157" s="2075"/>
      <c r="R157" s="2075"/>
      <c r="S157" s="2075"/>
      <c r="T157" s="2075"/>
      <c r="U157" s="2076"/>
      <c r="V157" s="1190"/>
      <c r="W157" s="1190"/>
      <c r="X157" s="2037"/>
      <c r="Y157" s="2038"/>
      <c r="Z157" s="2038"/>
      <c r="AA157" s="2038"/>
      <c r="AB157" s="2038"/>
      <c r="AC157" s="2038"/>
      <c r="AD157" s="2038"/>
      <c r="AE157" s="2075" t="s">
        <v>2349</v>
      </c>
      <c r="AF157" s="2075"/>
      <c r="AG157" s="2075"/>
      <c r="AH157" s="2075"/>
      <c r="AI157" s="2075"/>
      <c r="AJ157" s="2075"/>
      <c r="AK157" s="2075"/>
      <c r="AL157" s="2075" t="s">
        <v>2348</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2347</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2347</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2346</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2345</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2330</v>
      </c>
      <c r="D163" s="2038"/>
      <c r="E163" s="2038"/>
      <c r="F163" s="2038"/>
      <c r="G163" s="2038"/>
      <c r="H163" s="2038"/>
      <c r="I163" s="2038"/>
      <c r="J163" s="2038"/>
      <c r="K163" s="2038"/>
      <c r="L163" s="2038"/>
      <c r="M163" s="2038"/>
      <c r="N163" s="2038"/>
      <c r="O163" s="2038"/>
      <c r="P163" s="2038"/>
      <c r="Q163" s="2038" t="s">
        <v>2344</v>
      </c>
      <c r="R163" s="2038"/>
      <c r="S163" s="2038"/>
      <c r="T163" s="2070" t="s">
        <v>2343</v>
      </c>
      <c r="U163" s="2070"/>
      <c r="V163" s="2070"/>
      <c r="W163" s="2070"/>
      <c r="X163" s="2070"/>
      <c r="Y163" s="2070"/>
      <c r="Z163" s="2070"/>
      <c r="AA163" s="2070"/>
      <c r="AB163" s="2038" t="s">
        <v>2342</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2341</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2340</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2339</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2338</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2319</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2319</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2319</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2337</v>
      </c>
      <c r="D172" s="2024"/>
      <c r="E172" s="2024"/>
      <c r="F172" s="2024"/>
      <c r="G172" s="2024"/>
      <c r="H172" s="2024"/>
      <c r="I172" s="2024"/>
      <c r="J172" s="2024"/>
      <c r="K172" s="2024"/>
      <c r="L172" s="2024"/>
      <c r="M172" s="2024"/>
      <c r="N172" s="2033"/>
      <c r="O172" s="1190"/>
      <c r="P172" s="2034" t="s">
        <v>2336</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2335</v>
      </c>
      <c r="D173" s="2038"/>
      <c r="E173" s="2038"/>
      <c r="F173" s="2038"/>
      <c r="G173" s="2038"/>
      <c r="H173" s="2038"/>
      <c r="I173" s="2038" t="s">
        <v>2334</v>
      </c>
      <c r="J173" s="2038"/>
      <c r="K173" s="2038"/>
      <c r="L173" s="2038"/>
      <c r="M173" s="2038"/>
      <c r="N173" s="2039"/>
      <c r="O173" s="1190"/>
      <c r="P173" s="2040" t="s">
        <v>2333</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2332</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2330</v>
      </c>
      <c r="D184" s="2024"/>
      <c r="E184" s="2024"/>
      <c r="F184" s="2024"/>
      <c r="G184" s="2024"/>
      <c r="H184" s="2024"/>
      <c r="I184" s="2024"/>
      <c r="J184" s="2024"/>
      <c r="K184" s="2024"/>
      <c r="L184" s="2024"/>
      <c r="M184" s="2024"/>
      <c r="N184" s="2024" t="s">
        <v>2331</v>
      </c>
      <c r="O184" s="2024"/>
      <c r="P184" s="2024"/>
      <c r="Q184" s="2024"/>
      <c r="R184" s="2024"/>
      <c r="S184" s="2024"/>
      <c r="T184" s="2024"/>
      <c r="U184" s="2025" t="s">
        <v>2330</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2329</v>
      </c>
      <c r="D185" s="2003"/>
      <c r="E185" s="2003"/>
      <c r="F185" s="2003"/>
      <c r="G185" s="2003"/>
      <c r="H185" s="2003"/>
      <c r="I185" s="2003"/>
      <c r="J185" s="2003"/>
      <c r="K185" s="2003"/>
      <c r="L185" s="2003"/>
      <c r="M185" s="2003"/>
      <c r="N185" s="2013">
        <f>'Sources and Uses Budget'!B105</f>
        <v>97949000</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2328</v>
      </c>
      <c r="D186" s="2003"/>
      <c r="E186" s="2003"/>
      <c r="F186" s="2003"/>
      <c r="G186" s="2003"/>
      <c r="H186" s="2003"/>
      <c r="I186" s="2003"/>
      <c r="J186" s="2003"/>
      <c r="K186" s="2003"/>
      <c r="L186" s="2003"/>
      <c r="M186" s="2003"/>
      <c r="N186" s="2013">
        <f>N185/J29</f>
        <v>612181.25</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2327</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2326</v>
      </c>
      <c r="D188" s="2003"/>
      <c r="E188" s="2003"/>
      <c r="F188" s="2003"/>
      <c r="G188" s="2003"/>
      <c r="H188" s="2003"/>
      <c r="I188" s="2003"/>
      <c r="J188" s="2003"/>
      <c r="K188" s="2003"/>
      <c r="L188" s="2003"/>
      <c r="M188" s="2003"/>
      <c r="N188" s="2032">
        <f>SUM('Sources and Uses Budget'!B85:B86)</f>
        <v>1077677</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2325</v>
      </c>
      <c r="D189" s="2003"/>
      <c r="E189" s="2003"/>
      <c r="F189" s="2003"/>
      <c r="G189" s="2003"/>
      <c r="H189" s="2003"/>
      <c r="I189" s="2003"/>
      <c r="J189" s="2003"/>
      <c r="K189" s="2003"/>
      <c r="L189" s="2003"/>
      <c r="M189" s="2003"/>
      <c r="N189" s="2032">
        <f>'Sources and Uses Budget'!B8</f>
        <v>3500000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2323</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2324</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2323</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2322</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2321</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2319</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2320</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2319</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2319</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2318</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2317</v>
      </c>
      <c r="D195" s="1957"/>
      <c r="E195" s="1957"/>
      <c r="F195" s="1957"/>
      <c r="G195" s="1957"/>
      <c r="H195" s="1957"/>
      <c r="I195" s="1957"/>
      <c r="J195" s="1957"/>
      <c r="K195" s="1957"/>
      <c r="L195" s="1957"/>
      <c r="M195" s="1957"/>
      <c r="N195" s="1958">
        <f>SUM(N187:T194)</f>
        <v>4577677</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2316</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2315</v>
      </c>
      <c r="D196" s="1967"/>
      <c r="E196" s="1967"/>
      <c r="F196" s="1967"/>
      <c r="G196" s="1967"/>
      <c r="H196" s="1967"/>
      <c r="I196" s="1967"/>
      <c r="J196" s="1967"/>
      <c r="K196" s="1967"/>
      <c r="L196" s="1967"/>
      <c r="M196" s="1967"/>
      <c r="N196" s="1968">
        <f>(N185-N195)/J29</f>
        <v>583570.76875000005</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2314</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2313</v>
      </c>
      <c r="D200" s="1954"/>
      <c r="E200" s="1954"/>
      <c r="F200" s="1954"/>
      <c r="G200" s="1954"/>
      <c r="H200" s="1954"/>
      <c r="I200" s="1954"/>
      <c r="J200" s="1954"/>
      <c r="K200" s="1954"/>
      <c r="L200" s="1954"/>
      <c r="M200" s="1954"/>
      <c r="N200" s="1954"/>
      <c r="O200" s="1955" t="s">
        <v>2312</v>
      </c>
      <c r="P200" s="1955"/>
      <c r="Q200" s="1955"/>
      <c r="R200" s="1955"/>
      <c r="S200" s="1955"/>
      <c r="T200" s="1955"/>
      <c r="U200" s="1955"/>
      <c r="V200" s="1955"/>
      <c r="W200" s="1955"/>
      <c r="X200" s="1955" t="s">
        <v>2311</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2310</v>
      </c>
      <c r="D201" s="1946"/>
      <c r="E201" s="1946"/>
      <c r="F201" s="1946"/>
      <c r="G201" s="1946"/>
      <c r="H201" s="1946"/>
      <c r="I201" s="1946"/>
      <c r="J201" s="1946"/>
      <c r="K201" s="1946"/>
      <c r="L201" s="1946"/>
      <c r="M201" s="1946"/>
      <c r="N201" s="1946"/>
      <c r="O201" s="1947" t="s">
        <v>2309</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2309</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2308</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2307</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2306</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2305</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2304</v>
      </c>
      <c r="D207" s="1925"/>
      <c r="E207" s="1925"/>
      <c r="F207" s="1926"/>
      <c r="G207" s="1930" t="s">
        <v>2303</v>
      </c>
      <c r="H207" s="1925"/>
      <c r="I207" s="1925"/>
      <c r="J207" s="1925"/>
      <c r="K207" s="1925"/>
      <c r="L207" s="1925"/>
      <c r="M207" s="1925"/>
      <c r="N207" s="1925"/>
      <c r="O207" s="1926"/>
      <c r="P207" s="1932" t="s">
        <v>2302</v>
      </c>
      <c r="Q207" s="1933"/>
      <c r="R207" s="1933"/>
      <c r="S207" s="1933"/>
      <c r="T207" s="1934"/>
      <c r="U207" s="1938" t="s">
        <v>2301</v>
      </c>
      <c r="V207" s="1939"/>
      <c r="W207" s="1939"/>
      <c r="X207" s="1940"/>
      <c r="Y207" s="1938" t="s">
        <v>2300</v>
      </c>
      <c r="Z207" s="1939"/>
      <c r="AA207" s="1939"/>
      <c r="AB207" s="1940"/>
      <c r="AC207" s="1938" t="s">
        <v>2299</v>
      </c>
      <c r="AD207" s="1939"/>
      <c r="AE207" s="1939"/>
      <c r="AF207" s="1940"/>
      <c r="AG207" s="1930" t="s">
        <v>2298</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1886</v>
      </c>
      <c r="H209" s="1915"/>
      <c r="I209" s="1915"/>
      <c r="J209" s="1915"/>
      <c r="K209" s="1915"/>
      <c r="L209" s="1915"/>
      <c r="M209" s="1915"/>
      <c r="N209" s="1915"/>
      <c r="O209" s="1915"/>
      <c r="P209" s="1916"/>
      <c r="Q209" s="1919"/>
      <c r="R209" s="1919"/>
      <c r="S209" s="1919"/>
      <c r="T209" s="1919"/>
      <c r="U209" s="1917" t="s">
        <v>1886</v>
      </c>
      <c r="V209" s="1917"/>
      <c r="W209" s="1917"/>
      <c r="X209" s="1917"/>
      <c r="Y209" s="1917" t="s">
        <v>1886</v>
      </c>
      <c r="Z209" s="1917"/>
      <c r="AA209" s="1917"/>
      <c r="AB209" s="1917"/>
      <c r="AC209" s="1918" t="s">
        <v>1886</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1886</v>
      </c>
      <c r="H210" s="1915"/>
      <c r="I210" s="1915"/>
      <c r="J210" s="1915"/>
      <c r="K210" s="1915"/>
      <c r="L210" s="1915"/>
      <c r="M210" s="1915"/>
      <c r="N210" s="1915"/>
      <c r="O210" s="1915"/>
      <c r="P210" s="1916"/>
      <c r="Q210" s="1916"/>
      <c r="R210" s="1916"/>
      <c r="S210" s="1916"/>
      <c r="T210" s="1916"/>
      <c r="U210" s="1917" t="s">
        <v>1886</v>
      </c>
      <c r="V210" s="1917"/>
      <c r="W210" s="1917"/>
      <c r="X210" s="1917"/>
      <c r="Y210" s="1917" t="s">
        <v>1886</v>
      </c>
      <c r="Z210" s="1917"/>
      <c r="AA210" s="1917"/>
      <c r="AB210" s="1917"/>
      <c r="AC210" s="1918" t="s">
        <v>1886</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1886</v>
      </c>
      <c r="H211" s="1915"/>
      <c r="I211" s="1915"/>
      <c r="J211" s="1915"/>
      <c r="K211" s="1915"/>
      <c r="L211" s="1915"/>
      <c r="M211" s="1915"/>
      <c r="N211" s="1915"/>
      <c r="O211" s="1915"/>
      <c r="P211" s="1916"/>
      <c r="Q211" s="1916"/>
      <c r="R211" s="1916"/>
      <c r="S211" s="1916"/>
      <c r="T211" s="1916"/>
      <c r="U211" s="1917" t="s">
        <v>1886</v>
      </c>
      <c r="V211" s="1917"/>
      <c r="W211" s="1917"/>
      <c r="X211" s="1917"/>
      <c r="Y211" s="1917" t="s">
        <v>1886</v>
      </c>
      <c r="Z211" s="1917"/>
      <c r="AA211" s="1917"/>
      <c r="AB211" s="1917"/>
      <c r="AC211" s="1918" t="s">
        <v>1886</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1886</v>
      </c>
      <c r="H212" s="1915"/>
      <c r="I212" s="1915"/>
      <c r="J212" s="1915"/>
      <c r="K212" s="1915"/>
      <c r="L212" s="1915"/>
      <c r="M212" s="1915"/>
      <c r="N212" s="1915"/>
      <c r="O212" s="1915"/>
      <c r="P212" s="1916"/>
      <c r="Q212" s="1916"/>
      <c r="R212" s="1916"/>
      <c r="S212" s="1916"/>
      <c r="T212" s="1916"/>
      <c r="U212" s="1917" t="s">
        <v>1886</v>
      </c>
      <c r="V212" s="1917"/>
      <c r="W212" s="1917"/>
      <c r="X212" s="1917"/>
      <c r="Y212" s="1917" t="s">
        <v>1886</v>
      </c>
      <c r="Z212" s="1917"/>
      <c r="AA212" s="1917"/>
      <c r="AB212" s="1917"/>
      <c r="AC212" s="1918" t="s">
        <v>1886</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1886</v>
      </c>
      <c r="H213" s="1915"/>
      <c r="I213" s="1915"/>
      <c r="J213" s="1915"/>
      <c r="K213" s="1915"/>
      <c r="L213" s="1915"/>
      <c r="M213" s="1915"/>
      <c r="N213" s="1915"/>
      <c r="O213" s="1915"/>
      <c r="P213" s="1916"/>
      <c r="Q213" s="1916"/>
      <c r="R213" s="1916"/>
      <c r="S213" s="1916"/>
      <c r="T213" s="1916"/>
      <c r="U213" s="1917" t="s">
        <v>1886</v>
      </c>
      <c r="V213" s="1917"/>
      <c r="W213" s="1917"/>
      <c r="X213" s="1917"/>
      <c r="Y213" s="1917" t="s">
        <v>1886</v>
      </c>
      <c r="Z213" s="1917"/>
      <c r="AA213" s="1917"/>
      <c r="AB213" s="1917"/>
      <c r="AC213" s="1918" t="s">
        <v>1886</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1886</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1886</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1886</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2297</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2295</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2294</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2293</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2292</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2290</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2289</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2288</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2287</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2286</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2285</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2284</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1" sqref="AB51"/>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93247333</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9"/>
      <c r="D12" s="1309"/>
      <c r="E12" s="1309"/>
      <c r="F12" s="1309"/>
      <c r="G12" s="1309"/>
      <c r="H12" s="1309"/>
      <c r="I12" s="1309"/>
      <c r="J12" s="1309"/>
      <c r="K12" s="1309"/>
      <c r="L12" s="1309"/>
      <c r="M12" s="1309"/>
      <c r="N12" s="1309"/>
      <c r="O12" s="1309"/>
      <c r="P12" s="1309"/>
      <c r="Q12" s="1309"/>
      <c r="R12" s="1309"/>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565" t="s">
        <v>961</v>
      </c>
      <c r="D18" s="1565"/>
      <c r="E18" s="1565"/>
      <c r="F18" s="1565"/>
      <c r="G18" s="1565"/>
      <c r="H18" s="1565"/>
      <c r="I18" s="1565"/>
      <c r="J18" s="1565"/>
      <c r="K18" s="1565"/>
      <c r="L18" s="1565"/>
      <c r="M18" s="1565"/>
      <c r="N18" s="1565"/>
      <c r="O18" s="1565"/>
      <c r="P18" s="1565"/>
      <c r="Q18" s="1565"/>
      <c r="R18" s="1565"/>
      <c r="S18" s="1566"/>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93247333</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197231626.09</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93247333</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93247333</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93247333</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93247333</v>
      </c>
      <c r="Z38" s="2333"/>
      <c r="AA38" s="2333"/>
      <c r="AB38" s="2333"/>
      <c r="AC38" s="2333"/>
      <c r="AD38" s="2333">
        <f>IF(T24&gt;=(T23+Y23+AD23+AI23),AD28+AI28,0)</f>
        <v>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3729893</v>
      </c>
      <c r="Z40" s="2333"/>
      <c r="AA40" s="2333"/>
      <c r="AB40" s="2333"/>
      <c r="AC40" s="2333"/>
      <c r="AD40" s="235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3729893</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97949000</v>
      </c>
      <c r="AC47" s="2348"/>
      <c r="AD47" s="2348"/>
      <c r="AE47" s="2348"/>
      <c r="AF47" s="2349"/>
    </row>
    <row r="48" spans="1:76" ht="12.95" customHeight="1">
      <c r="D48" s="404" t="s">
        <v>21</v>
      </c>
      <c r="AB48" s="2347">
        <f>Application!AO639-MAX(IF('Sources and Uses Budget'!B15="",0,'Sources and Uses Budget'!B15),IF(Application!AG394="",0,Application!AG394))</f>
        <v>46524461</v>
      </c>
      <c r="AC48" s="2348"/>
      <c r="AD48" s="2348"/>
      <c r="AE48" s="2348"/>
      <c r="AF48" s="2349"/>
    </row>
    <row r="49" spans="1:76" ht="12.95" customHeight="1">
      <c r="D49" s="404" t="s">
        <v>91</v>
      </c>
      <c r="AB49" s="2347">
        <f>AB47-AB48</f>
        <v>51424539</v>
      </c>
      <c r="AC49" s="2348"/>
      <c r="AD49" s="2348"/>
      <c r="AE49" s="2348"/>
      <c r="AF49" s="2349"/>
    </row>
    <row r="50" spans="1:76" ht="12.95" customHeight="1">
      <c r="D50" s="404" t="s">
        <v>682</v>
      </c>
      <c r="AA50" s="415"/>
      <c r="AB50" s="2335">
        <v>0.92</v>
      </c>
      <c r="AC50" s="2336"/>
      <c r="AD50" s="2336"/>
      <c r="AE50" s="2336"/>
      <c r="AF50" s="2337"/>
    </row>
    <row r="51" spans="1:76" s="417" customFormat="1" ht="12.95" customHeight="1">
      <c r="A51" s="402"/>
      <c r="B51" s="402"/>
      <c r="C51" s="402"/>
      <c r="D51" s="402"/>
      <c r="E51" s="2346" t="s">
        <v>1851</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55896238</v>
      </c>
      <c r="AC54" s="2348"/>
      <c r="AD54" s="2348"/>
      <c r="AE54" s="2348"/>
      <c r="AF54" s="2349"/>
    </row>
    <row r="55" spans="1:76" ht="12.95" customHeight="1">
      <c r="D55" s="404" t="s">
        <v>333</v>
      </c>
      <c r="AB55" s="2347">
        <f>(AB54/10)</f>
        <v>5589623.7999999998</v>
      </c>
      <c r="AC55" s="2348"/>
      <c r="AD55" s="2348"/>
      <c r="AE55" s="2348"/>
      <c r="AF55" s="2349"/>
    </row>
    <row r="56" spans="1:76" ht="12.95" customHeight="1">
      <c r="D56" s="404" t="s">
        <v>757</v>
      </c>
      <c r="AB56" s="2347">
        <f>ROUND((IF((Y41&lt;AB55),Y41,AB55)),0)</f>
        <v>3729893</v>
      </c>
      <c r="AC56" s="2348"/>
      <c r="AD56" s="2348"/>
      <c r="AE56" s="2348"/>
      <c r="AF56" s="2349"/>
    </row>
    <row r="57" spans="1:76" ht="12.95" customHeight="1">
      <c r="D57" s="404" t="s">
        <v>756</v>
      </c>
      <c r="AB57" s="2347">
        <f>ROUND((10*AB56*AB50),0)</f>
        <v>34315016</v>
      </c>
      <c r="AC57" s="2348"/>
      <c r="AD57" s="2348"/>
      <c r="AE57" s="2348"/>
      <c r="AF57" s="2349"/>
    </row>
    <row r="58" spans="1:76" ht="12.95" customHeight="1">
      <c r="D58" s="404"/>
      <c r="AB58" s="423"/>
      <c r="AC58" s="423"/>
      <c r="AD58" s="423"/>
      <c r="AE58" s="423"/>
      <c r="AF58" s="423"/>
    </row>
    <row r="59" spans="1:76" ht="12.95" customHeight="1">
      <c r="D59" s="404" t="s">
        <v>755</v>
      </c>
      <c r="AB59" s="2331">
        <f>AB49-AB57</f>
        <v>17109523</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1249</v>
      </c>
      <c r="Y63" s="2342" t="s">
        <v>985</v>
      </c>
      <c r="Z63" s="2342"/>
      <c r="AA63" s="2342"/>
      <c r="AB63" s="2342"/>
      <c r="AC63" s="2342"/>
      <c r="AD63" s="2342" t="s">
        <v>369</v>
      </c>
      <c r="AE63" s="2342"/>
      <c r="AF63" s="2342"/>
      <c r="AG63" s="2342"/>
      <c r="AH63" s="2342"/>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93247333</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cm="1">
        <f t="array" ref="Y67">_xlfn.IFS(OR(Application!Z205="State Farmworker Credit",Application!Z205="$500M (Farmworker Housing)"),0.75,Application!Z205="15% set-aside",0.13,Application!Z205="15% set-aside with qualifying low value rehab",0.95,Application!Z205="$500M",0.3,TRUE,0)</f>
        <v>0.3</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2.95" customHeight="1">
      <c r="C68" s="404"/>
      <c r="D68" s="205" t="s">
        <v>2227</v>
      </c>
      <c r="Y68" s="2333">
        <f>ROUND(Y64*Y67,0)</f>
        <v>27974200</v>
      </c>
      <c r="Z68" s="2334"/>
      <c r="AA68" s="2334"/>
      <c r="AB68" s="2334"/>
      <c r="AC68" s="2334"/>
      <c r="AD68" s="2333">
        <f>ROUND(AD64*AD67,0)</f>
        <v>0</v>
      </c>
      <c r="AE68" s="2334"/>
      <c r="AF68" s="2334"/>
      <c r="AG68" s="2334"/>
      <c r="AH68" s="2334"/>
    </row>
    <row r="69" spans="1:36" ht="12.95" customHeight="1">
      <c r="C69" s="404"/>
      <c r="D69" s="205" t="s">
        <v>2228</v>
      </c>
      <c r="Y69" s="2333">
        <f>IF(OR(Application!Z205="State Farmworker Credit",Application!Z205="$500M (Farmworker Housing)"),Y68+AD68,MIN(Y68+AD68,200000*(Application!G753+Application!O777)))</f>
        <v>27974200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5">
        <v>0.93</v>
      </c>
      <c r="AC72" s="2336"/>
      <c r="AD72" s="2336"/>
      <c r="AE72" s="2336"/>
      <c r="AF72" s="2337"/>
    </row>
    <row r="73" spans="1:36" ht="12.95" customHeight="1">
      <c r="A73" s="404"/>
      <c r="C73" s="404"/>
      <c r="D73" s="404"/>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6">
        <f>ROUND(IF(ISERROR((AB59/AB72)),0,(AB59/AB72)),0)</f>
        <v>18397337</v>
      </c>
      <c r="AC77" s="2326"/>
      <c r="AD77" s="2326"/>
      <c r="AE77" s="2326"/>
      <c r="AF77" s="2326"/>
    </row>
    <row r="78" spans="1:36" ht="12.95" customHeight="1">
      <c r="C78" s="404"/>
      <c r="D78" s="205" t="s">
        <v>1254</v>
      </c>
      <c r="AB78" s="2327">
        <f>ROUNDUP(MIN(Y69,AB77),0)</f>
        <v>18397337</v>
      </c>
      <c r="AC78" s="2328"/>
      <c r="AD78" s="2328"/>
      <c r="AE78" s="2328"/>
      <c r="AF78" s="2329"/>
    </row>
    <row r="79" spans="1:36" ht="12.95" customHeight="1">
      <c r="C79" s="404"/>
      <c r="D79" s="205" t="s">
        <v>1255</v>
      </c>
      <c r="AB79" s="2330">
        <f>AB78*AB72</f>
        <v>17109523.41</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-0.40999999642372131</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B68" sqref="B68:C6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1306</v>
      </c>
      <c r="AF7" s="2405"/>
      <c r="AG7" s="2405"/>
      <c r="AH7" s="2405"/>
      <c r="AI7" s="2405"/>
      <c r="AJ7" s="2405"/>
      <c r="AK7" s="2405"/>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2035</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2251</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5" t="s">
        <v>592</v>
      </c>
      <c r="C33" s="2395"/>
      <c r="D33" s="547"/>
      <c r="E33" s="2431" t="s">
        <v>2253</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2254</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592</v>
      </c>
      <c r="C40" s="2395"/>
      <c r="D40" s="547"/>
      <c r="E40" s="2396" t="s">
        <v>2252</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2010</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592</v>
      </c>
      <c r="C52" s="2395"/>
      <c r="D52" s="540"/>
      <c r="E52" s="2396" t="s">
        <v>2015</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592</v>
      </c>
      <c r="C56" s="2395"/>
      <c r="D56" s="540"/>
      <c r="E56" s="2416" t="s">
        <v>2016</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592</v>
      </c>
      <c r="C58" s="2395"/>
      <c r="D58" s="540"/>
      <c r="E58" s="2396" t="s">
        <v>2017</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1315</v>
      </c>
      <c r="AF65" s="2405"/>
      <c r="AG65" s="2405"/>
      <c r="AH65" s="2405"/>
      <c r="AI65" s="2405"/>
      <c r="AJ65" s="2405"/>
      <c r="AK65" s="2405"/>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546</v>
      </c>
      <c r="C68" s="2395"/>
      <c r="D68" s="547" t="s">
        <v>1316</v>
      </c>
      <c r="E68" s="2406" t="s">
        <v>2018</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10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10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1317</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546</v>
      </c>
      <c r="C74" s="239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546</v>
      </c>
      <c r="F75" s="239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592</v>
      </c>
      <c r="C81" s="2395"/>
      <c r="D81" s="547"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1306</v>
      </c>
      <c r="AF87" s="2405"/>
      <c r="AG87" s="2405"/>
      <c r="AH87" s="2405"/>
      <c r="AI87" s="2405"/>
      <c r="AJ87" s="2405"/>
      <c r="AK87" s="2405"/>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0.56329113924050622</v>
      </c>
      <c r="F93" s="2390"/>
      <c r="G93" s="2390"/>
      <c r="H93" s="2390"/>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2.9999999999999916E-2</v>
      </c>
      <c r="F94" s="2392"/>
      <c r="G94" s="2392"/>
      <c r="H94" s="2392"/>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5.9999999999999831</v>
      </c>
      <c r="F95" s="2423"/>
      <c r="G95" s="2423"/>
      <c r="H95" s="2423"/>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0.56329113924050622</v>
      </c>
      <c r="F103" s="2390"/>
      <c r="G103" s="2390"/>
      <c r="H103" s="2390"/>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0.22151898734177214</v>
      </c>
      <c r="F104" s="2390"/>
      <c r="G104" s="2390"/>
      <c r="H104" s="2390"/>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9.49367088607595E-2</v>
      </c>
      <c r="F105" s="2390"/>
      <c r="G105" s="2390"/>
      <c r="H105" s="2390"/>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1315</v>
      </c>
      <c r="AF112" s="2405"/>
      <c r="AG112" s="2405"/>
      <c r="AH112" s="2405"/>
      <c r="AI112" s="2405"/>
      <c r="AJ112" s="2405"/>
      <c r="AK112" s="2405"/>
      <c r="AL112" s="540"/>
      <c r="AM112" s="540"/>
      <c r="AN112" s="535"/>
      <c r="AO112" s="536" t="str">
        <f>Application!B718</f>
        <v>1 Bedroom</v>
      </c>
      <c r="AQ112" s="536">
        <f>Application!O718</f>
        <v>822</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1674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983</v>
      </c>
    </row>
    <row r="115" spans="1:52" s="536" customFormat="1" ht="12.75" customHeight="1">
      <c r="A115" s="540"/>
      <c r="B115" s="2395" t="s">
        <v>546</v>
      </c>
      <c r="C115" s="2395"/>
      <c r="D115" s="547" t="s">
        <v>1316</v>
      </c>
      <c r="E115" s="2406" t="s">
        <v>1859</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2 Bedrooms</v>
      </c>
      <c r="AQ115" s="536">
        <f>Application!O721</f>
        <v>1665</v>
      </c>
      <c r="AU115" s="536" t="s">
        <v>1841</v>
      </c>
      <c r="AV115" s="595" t="s">
        <v>1842</v>
      </c>
      <c r="AW115" s="536" t="s">
        <v>1843</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2005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2346</v>
      </c>
      <c r="AU117" s="856" t="str">
        <f>J124</f>
        <v>1-bedroom</v>
      </c>
      <c r="AV117" s="536">
        <f t="array" ref="AV117">SUM(IF(Application!B718:F752="1 Bedroom",Application!G718:J752))</f>
        <v>31</v>
      </c>
      <c r="AW117" s="1011">
        <f>AV117/AV122</f>
        <v>0.19620253164556961</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3 Bedrooms</v>
      </c>
      <c r="AQ118" s="536">
        <f>Application!O724</f>
        <v>1131</v>
      </c>
      <c r="AU118" s="856" t="str">
        <f>O124</f>
        <v>2-bedroom</v>
      </c>
      <c r="AV118" s="536">
        <f t="array" ref="AV118">SUM(IF(Application!B718:F752="2 Bedrooms",Application!G718:J752))</f>
        <v>80</v>
      </c>
      <c r="AW118" s="1011">
        <f>AV118/AV122</f>
        <v>0.50632911392405067</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3 Bedrooms</v>
      </c>
      <c r="AQ119" s="536">
        <f>Application!O725</f>
        <v>1920</v>
      </c>
      <c r="AU119" s="856" t="str">
        <f>T124</f>
        <v>3-bedroom</v>
      </c>
      <c r="AV119" s="536">
        <f t="array" ref="AV119">SUM(IF(Application!B718:F752="3 Bedrooms",Application!G718:J752))</f>
        <v>47</v>
      </c>
      <c r="AW119" s="1011">
        <f>AV119/AV122</f>
        <v>0.29746835443037972</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3 Bedrooms</v>
      </c>
      <c r="AQ120" s="536">
        <f>Application!O726</f>
        <v>2708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158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1589</v>
      </c>
      <c r="F124" s="2390"/>
      <c r="G124" s="2390"/>
      <c r="H124" s="2390"/>
      <c r="I124" s="577"/>
      <c r="J124" s="2390" t="s">
        <v>1632</v>
      </c>
      <c r="K124" s="2390"/>
      <c r="L124" s="2390"/>
      <c r="M124" s="2390"/>
      <c r="N124" s="577"/>
      <c r="O124" s="2390" t="s">
        <v>1633</v>
      </c>
      <c r="P124" s="2390"/>
      <c r="Q124" s="2390"/>
      <c r="R124" s="2390"/>
      <c r="S124" s="577"/>
      <c r="T124" s="2390" t="s">
        <v>1335</v>
      </c>
      <c r="U124" s="2390"/>
      <c r="V124" s="2390"/>
      <c r="W124" s="2390"/>
      <c r="X124" s="577"/>
      <c r="Y124" s="2390" t="s">
        <v>1634</v>
      </c>
      <c r="Z124" s="2390"/>
      <c r="AA124" s="2390"/>
      <c r="AB124" s="2390"/>
      <c r="AC124" s="577"/>
      <c r="AD124" s="2390" t="s">
        <v>1635</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2671</v>
      </c>
      <c r="K127" s="2450"/>
      <c r="L127" s="2450"/>
      <c r="M127" s="2450"/>
      <c r="N127" s="864"/>
      <c r="O127" s="2450">
        <v>2950</v>
      </c>
      <c r="P127" s="2450"/>
      <c r="Q127" s="2450"/>
      <c r="R127" s="2450"/>
      <c r="S127" s="864"/>
      <c r="T127" s="2450">
        <v>3546</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1124.3225806451612</v>
      </c>
      <c r="K130" s="2443"/>
      <c r="L130" s="2443"/>
      <c r="M130" s="2443"/>
      <c r="N130" s="864"/>
      <c r="O130" s="2443">
        <f>Application!EH670</f>
        <v>1941.3125</v>
      </c>
      <c r="P130" s="2443"/>
      <c r="Q130" s="2443"/>
      <c r="R130" s="2443"/>
      <c r="S130" s="868"/>
      <c r="T130" s="2443">
        <f>Application!EM670</f>
        <v>2456.4042553191489</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0.5790630547940242</v>
      </c>
      <c r="K133" s="2392"/>
      <c r="L133" s="2392"/>
      <c r="M133" s="2642"/>
      <c r="N133" s="577"/>
      <c r="O133" s="2641">
        <f>(O127-O130)/O127</f>
        <v>0.3419279661016949</v>
      </c>
      <c r="P133" s="2392"/>
      <c r="Q133" s="2392"/>
      <c r="R133" s="2642"/>
      <c r="S133" s="577"/>
      <c r="T133" s="2641">
        <f>(T127-T130)/T127</f>
        <v>0.3072746036889033</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9.3993384168447783E-2</v>
      </c>
      <c r="K136" s="2445"/>
      <c r="L136" s="2445"/>
      <c r="M136" s="2446"/>
      <c r="N136" s="577"/>
      <c r="O136" s="2444">
        <f>IF(((O133-0.1)*AW118)&gt;0,((O133-0.1)*AW118),0)</f>
        <v>0.12249517270971895</v>
      </c>
      <c r="P136" s="2445"/>
      <c r="Q136" s="2445"/>
      <c r="R136" s="2446"/>
      <c r="S136" s="577"/>
      <c r="T136" s="2444">
        <f>IF(((T133-0.1)*AW119)&gt;0,((T133-0.1)*AW119),0)</f>
        <v>6.1657635274547179E-2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0.27</v>
      </c>
      <c r="F138" s="2392"/>
      <c r="G138" s="2392"/>
      <c r="H138" s="264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5" t="s">
        <v>1315</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1339</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2711</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7" t="s">
        <v>1342</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2478</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2479</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2477</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592</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1353</v>
      </c>
      <c r="AG168" s="2440"/>
      <c r="AH168" s="2440"/>
      <c r="AI168" s="2440"/>
      <c r="AJ168" s="2440"/>
      <c r="AK168" s="2440"/>
      <c r="AL168" s="244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1351</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7" t="s">
        <v>1344</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9" t="str">
        <f>Application!AA335</f>
        <v xml:space="preserve">Aperto Property Management </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1315</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5" t="s">
        <v>1042</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1364</v>
      </c>
      <c r="AG188" s="2440"/>
      <c r="AH188" s="2440"/>
      <c r="AI188" s="2440"/>
      <c r="AJ188" s="2440"/>
      <c r="AK188" s="2440"/>
      <c r="AL188" s="2440"/>
      <c r="AN188" s="597"/>
      <c r="AP188" s="550" t="s">
        <v>1044</v>
      </c>
      <c r="AQ188" s="550">
        <v>10</v>
      </c>
    </row>
    <row r="189" spans="1:73" s="550" customFormat="1" ht="12.75" customHeight="1">
      <c r="A189" s="536"/>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5">
        <f>IF(AK84&gt;0,VLOOKUP($B$188,AP185:AQ191,2,FALSE),0)</f>
        <v>10</v>
      </c>
      <c r="AL191" s="2476"/>
      <c r="AM191" s="2477"/>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1373</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2723</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v>11000000</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11000000</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1608</v>
      </c>
      <c r="J222" s="2456"/>
      <c r="K222" s="2456"/>
      <c r="L222" s="536"/>
      <c r="M222" s="536"/>
      <c r="N222" s="536"/>
      <c r="O222" s="536"/>
      <c r="P222" s="536"/>
      <c r="Q222" s="536"/>
      <c r="R222" s="536"/>
      <c r="S222" s="536"/>
      <c r="T222" s="2644" t="s">
        <v>1602</v>
      </c>
      <c r="U222" s="2644"/>
      <c r="V222" s="2644"/>
      <c r="W222" s="2644"/>
      <c r="X222" s="2644"/>
      <c r="Y222" s="2644"/>
      <c r="Z222" s="849"/>
      <c r="AA222" s="489"/>
      <c r="AB222" s="2451" t="s">
        <v>1603</v>
      </c>
      <c r="AC222" s="2451"/>
      <c r="AD222" s="2451"/>
      <c r="AE222" s="2451"/>
      <c r="AF222" s="2451"/>
      <c r="AG222" s="2451"/>
      <c r="AH222" s="827"/>
      <c r="AI222" s="827"/>
      <c r="AJ222" s="827"/>
      <c r="AK222" s="610"/>
    </row>
    <row r="223" spans="1:37">
      <c r="A223" s="605"/>
      <c r="B223" s="2454" t="s">
        <v>1588</v>
      </c>
      <c r="C223" s="2454"/>
      <c r="D223" s="2454"/>
      <c r="E223" s="2454"/>
      <c r="F223" s="2454"/>
      <c r="G223" s="2454"/>
      <c r="I223" s="2455" t="s">
        <v>1609</v>
      </c>
      <c r="J223" s="2455"/>
      <c r="K223" s="2455"/>
      <c r="L223" s="1008"/>
      <c r="N223" s="2461" t="s">
        <v>1604</v>
      </c>
      <c r="O223" s="2461"/>
      <c r="P223" s="2461"/>
      <c r="Q223" s="2461"/>
      <c r="R223" s="2461"/>
      <c r="T223" s="2461" t="s">
        <v>1605</v>
      </c>
      <c r="U223" s="2461"/>
      <c r="V223" s="2461"/>
      <c r="W223" s="2461"/>
      <c r="X223" s="2461"/>
      <c r="Y223" s="2461"/>
      <c r="Z223" s="850"/>
      <c r="AA223" s="489"/>
      <c r="AB223" s="2598" t="s">
        <v>1606</v>
      </c>
      <c r="AC223" s="2598"/>
      <c r="AD223" s="2598"/>
      <c r="AE223" s="2598"/>
      <c r="AF223" s="2598"/>
      <c r="AG223" s="2598"/>
      <c r="AH223" s="827"/>
      <c r="AI223" s="827"/>
      <c r="AJ223" s="827"/>
      <c r="AK223" s="610"/>
    </row>
    <row r="224" spans="1:37">
      <c r="A224" s="605"/>
      <c r="B224" s="2458" t="s">
        <v>1185</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1185</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1185</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1185</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1185</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11000000</v>
      </c>
      <c r="AH268" s="2478"/>
      <c r="AI268" s="2478"/>
      <c r="AJ268" s="2478"/>
      <c r="AK268" s="247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97949000</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0.22</v>
      </c>
      <c r="AH270" s="2479"/>
      <c r="AI270" s="2479"/>
      <c r="AJ270" s="2479"/>
      <c r="AK270" s="247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2026</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1364</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68" t="s">
        <v>546</v>
      </c>
      <c r="D292" s="2472"/>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2019</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2027</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2" t="s">
        <v>592</v>
      </c>
      <c r="D302" s="2472"/>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2" t="s">
        <v>2021</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2" t="s">
        <v>592</v>
      </c>
      <c r="D310" s="247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4" t="s">
        <v>2028</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2" t="s">
        <v>592</v>
      </c>
      <c r="D333" s="2472"/>
      <c r="E333" s="547"/>
      <c r="F333" s="2396" t="s">
        <v>2029</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5">
        <f>IF(NOT(OR(Application!M355="Yes",Application!M356="Yes")),0,AP295)</f>
        <v>10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5" t="s">
        <v>1315</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6"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2094</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2209</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3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1457</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1458</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1880</v>
      </c>
    </row>
    <row r="362" spans="1:46" s="550" customFormat="1" ht="12.75" customHeight="1">
      <c r="A362" s="603"/>
      <c r="B362" s="611"/>
      <c r="C362" s="2536" t="s">
        <v>2234</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6"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2">
        <f>Application!DU802-U374</f>
        <v>332</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1463</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1463</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546</v>
      </c>
      <c r="D397" s="247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1468</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1463</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1463</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546</v>
      </c>
      <c r="D409" s="247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1475</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1463</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1475</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6"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1463</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1463</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1463</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850000000000001"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1463</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6" t="s">
        <v>1512</v>
      </c>
      <c r="AF472" s="2516"/>
      <c r="AG472" s="2516"/>
      <c r="AH472" s="2516"/>
      <c r="AI472" s="2516"/>
      <c r="AJ472" s="2516"/>
      <c r="AK472" s="251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1" t="s">
        <v>592</v>
      </c>
      <c r="D478" s="2542"/>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1561</v>
      </c>
      <c r="AF538" s="2405"/>
      <c r="AG538" s="2405"/>
      <c r="AH538" s="2405"/>
      <c r="AI538" s="2405"/>
      <c r="AJ538" s="2405"/>
      <c r="AK538" s="2405"/>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592</v>
      </c>
      <c r="D541" s="2472"/>
      <c r="E541" s="551"/>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546</v>
      </c>
      <c r="D544" s="247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102192553</v>
      </c>
      <c r="AQ550" s="2621"/>
      <c r="AR550" s="2621"/>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93247333</v>
      </c>
      <c r="AG551" s="2478"/>
      <c r="AH551" s="2478"/>
      <c r="AI551" s="2478"/>
      <c r="AJ551" s="247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197231626.09</v>
      </c>
      <c r="AG552" s="2626"/>
      <c r="AH552" s="2626"/>
      <c r="AI552" s="2626"/>
      <c r="AJ552" s="2626"/>
      <c r="AK552" s="595"/>
      <c r="AL552" s="595"/>
      <c r="AM552" s="595"/>
      <c r="AN552" s="597"/>
      <c r="AP552" s="2621">
        <f>Application!AJ1045</f>
        <v>9197329.7699999996</v>
      </c>
      <c r="AQ552" s="2621"/>
      <c r="AR552" s="2621"/>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1.05</v>
      </c>
      <c r="AG553" s="2627"/>
      <c r="AH553" s="2627"/>
      <c r="AI553" s="2627"/>
      <c r="AJ553" s="2627"/>
      <c r="AK553" s="595"/>
      <c r="AL553" s="595"/>
      <c r="AM553" s="595"/>
      <c r="AN553" s="597"/>
      <c r="AP553" s="2624">
        <f>Application!AJ1049</f>
        <v>44964723.32</v>
      </c>
      <c r="AQ553" s="2624"/>
      <c r="AR553" s="2624"/>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0.53</v>
      </c>
      <c r="AQ554" s="2620"/>
      <c r="AR554" s="2620"/>
      <c r="AS554" s="550" t="s">
        <v>2173</v>
      </c>
    </row>
    <row r="555" spans="1:49" s="550" customFormat="1" ht="12.75" customHeight="1">
      <c r="A555" s="624"/>
      <c r="B555" s="2557" t="s">
        <v>2033</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143069573</v>
      </c>
      <c r="AQ556" s="2530"/>
      <c r="AR556" s="2530"/>
      <c r="AS556" s="550" t="s">
        <v>2175</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197231626.09</v>
      </c>
      <c r="AQ557" s="2621"/>
      <c r="AR557" s="2621"/>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6">
        <f>IFERROR(IF(AND(C541="N/A",C544="N/A"),0,IF(AF553=0,0,IF((AF553*100)&gt;12,12,(AF553*100)))),0)</f>
        <v>12</v>
      </c>
      <c r="AL559" s="2566"/>
      <c r="AM559" s="2567"/>
      <c r="AN559" s="597"/>
      <c r="AP559" s="2638">
        <f>AP556+(AP550*AP554)</f>
        <v>197231626.09</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1315</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2024</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1339</v>
      </c>
      <c r="AG578" s="2440"/>
      <c r="AH578" s="2440"/>
      <c r="AI578" s="2440"/>
      <c r="AJ578" s="2440"/>
      <c r="AK578" s="2440"/>
      <c r="AL578" s="244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1397</v>
      </c>
      <c r="AG585" s="2440"/>
      <c r="AH585" s="2440"/>
      <c r="AI585" s="2440"/>
      <c r="AJ585" s="2440"/>
      <c r="AK585" s="2440"/>
      <c r="AL585" s="244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1379</v>
      </c>
      <c r="AG591" s="2440"/>
      <c r="AH591" s="2440"/>
      <c r="AI591" s="2440"/>
      <c r="AJ591" s="2440"/>
      <c r="AK591" s="2440"/>
      <c r="AL591" s="244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1400</v>
      </c>
      <c r="AG597" s="2440"/>
      <c r="AH597" s="2440"/>
      <c r="AI597" s="2440"/>
      <c r="AJ597" s="2440"/>
      <c r="AK597" s="2440"/>
      <c r="AL597" s="244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1353</v>
      </c>
      <c r="AG603" s="2440"/>
      <c r="AH603" s="2440"/>
      <c r="AI603" s="2440"/>
      <c r="AJ603" s="2440"/>
      <c r="AK603" s="2440"/>
      <c r="AL603" s="244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4" t="s">
        <v>688</v>
      </c>
      <c r="I606" s="2524"/>
      <c r="J606" s="936"/>
      <c r="K606" s="936"/>
      <c r="L606" s="936"/>
      <c r="N606" s="22"/>
      <c r="O606" s="22"/>
      <c r="P606" s="22"/>
      <c r="Q606" s="1151" t="s">
        <v>2178</v>
      </c>
      <c r="R606" s="2527" t="s">
        <v>2179</v>
      </c>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8" t="s">
        <v>592</v>
      </c>
      <c r="C616" s="2468"/>
      <c r="D616" s="642"/>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1353</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1409</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5">
        <f>VLOOKUP($H$638,$AO$605:$AP$607,2,FALSE)</f>
        <v>3</v>
      </c>
      <c r="AK640" s="2477"/>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2099</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1353</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1409</v>
      </c>
      <c r="AG647" s="2440"/>
      <c r="AH647" s="2440"/>
      <c r="AI647" s="2440"/>
      <c r="AJ647" s="2440"/>
      <c r="AK647" s="2440"/>
      <c r="AL647" s="244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4" t="s">
        <v>592</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5">
        <f>VLOOKUP(H650,AT605:AU607,2,FALSE)</f>
        <v>0</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1379</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1400</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1353</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1400</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1353</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1409</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1426</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4" t="s">
        <v>510</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5">
        <f>VLOOKUP($H$685,$AO$633:$AP$640,2,FALSE)</f>
        <v>4</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158</v>
      </c>
    </row>
    <row r="691" spans="1:51" s="550" customFormat="1" ht="12.75" customHeight="1">
      <c r="A691" s="679"/>
      <c r="B691" s="536"/>
      <c r="C691" s="948"/>
      <c r="D691" s="663" t="s">
        <v>688</v>
      </c>
      <c r="E691" s="2531" t="s">
        <v>2191</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1353</v>
      </c>
      <c r="AG691" s="2440"/>
      <c r="AH691" s="2440"/>
      <c r="AI691" s="2440"/>
      <c r="AJ691" s="2440"/>
      <c r="AK691" s="2440"/>
      <c r="AL691" s="2440"/>
      <c r="AN691" s="597"/>
      <c r="AW691" s="22" t="s">
        <v>2186</v>
      </c>
      <c r="AX691" s="550">
        <f>Application!DE753</f>
        <v>47</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5" t="s">
        <v>2135</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1353</v>
      </c>
      <c r="AG694" s="2440"/>
      <c r="AH694" s="2440"/>
      <c r="AI694" s="2440"/>
      <c r="AJ694" s="2440"/>
      <c r="AK694" s="2440"/>
      <c r="AL694" s="2440"/>
      <c r="AN694" s="597"/>
      <c r="AW694" s="22" t="s">
        <v>2189</v>
      </c>
      <c r="AX694" s="550">
        <f>AX691+AX692+AX693</f>
        <v>47</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2190</v>
      </c>
      <c r="AX695" s="550">
        <f>IFERROR(AX694/AX690,0)</f>
        <v>0.29746835443037972</v>
      </c>
      <c r="AY695" s="550">
        <f>IFERROR(AX694/(AX690-AX689),0)</f>
        <v>0.29746835443037972</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2136</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1409</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4" t="s">
        <v>510</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5">
        <f>VLOOKUP($H$709,$AO$703:$AP$706,2,FALSE)</f>
        <v>3</v>
      </c>
      <c r="AK711" s="2477"/>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1353</v>
      </c>
      <c r="AG715" s="2440"/>
      <c r="AH715" s="2440"/>
      <c r="AI715" s="2440"/>
      <c r="AJ715" s="2440"/>
      <c r="AK715" s="2440"/>
      <c r="AL715" s="244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1409</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1353</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1409</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1353</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1409</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4" t="s">
        <v>688</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1409</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1426</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1409</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1353</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2034</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1353</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4" t="s">
        <v>546</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5">
        <f>VLOOKUP($H$790,$AO$784:$AP$785,2,FALSE)</f>
        <v>3</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c r="A805" s="819"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c r="A806" s="819"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c r="A812" s="819"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2025-06-05T17:26:31Z</dcterms:modified>
</cp:coreProperties>
</file>