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C398E024-7444-401E-A102-836172B8FB77}" xr6:coauthVersionLast="47" xr6:coauthVersionMax="47" xr10:uidLastSave="{00000000-0000-0000-0000-000000000000}"/>
  <bookViews>
    <workbookView xWindow="-120" yWindow="-120" windowWidth="25440" windowHeight="15390" firstSheet="5"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4" i="3" l="1"/>
  <c r="G141" i="21" l="1"/>
  <c r="E99" i="4"/>
  <c r="S94" i="4"/>
  <c r="S93" i="4"/>
  <c r="S92" i="4"/>
  <c r="S90" i="4"/>
  <c r="S89" i="4"/>
  <c r="S86" i="4"/>
  <c r="S84" i="4"/>
  <c r="C95" i="4"/>
  <c r="E94" i="4"/>
  <c r="E93" i="4"/>
  <c r="E92" i="4"/>
  <c r="E91" i="4"/>
  <c r="E90" i="4"/>
  <c r="E89" i="4"/>
  <c r="E86" i="4"/>
  <c r="E84" i="4"/>
  <c r="E83" i="4"/>
  <c r="S79" i="4"/>
  <c r="S65" i="4"/>
  <c r="S52" i="4"/>
  <c r="S46" i="4"/>
  <c r="E80" i="4"/>
  <c r="E79" i="4"/>
  <c r="E76" i="4"/>
  <c r="E75" i="4"/>
  <c r="C65" i="4"/>
  <c r="F65" i="4" s="1"/>
  <c r="F56" i="4"/>
  <c r="E52" i="4"/>
  <c r="F50" i="4"/>
  <c r="C49" i="4"/>
  <c r="F49" i="4" s="1"/>
  <c r="C46" i="4"/>
  <c r="F46" i="4" s="1"/>
  <c r="F45" i="4"/>
  <c r="C43" i="4"/>
  <c r="C40" i="4"/>
  <c r="S27" i="4"/>
  <c r="S24" i="4"/>
  <c r="S23" i="4"/>
  <c r="S22" i="4"/>
  <c r="S21" i="4"/>
  <c r="S20" i="4"/>
  <c r="S19" i="4"/>
  <c r="S17" i="4"/>
  <c r="E27" i="4"/>
  <c r="C25" i="4"/>
  <c r="E23" i="4"/>
  <c r="E21" i="4"/>
  <c r="E19" i="4"/>
  <c r="C18" i="4"/>
  <c r="S18" i="4" s="1"/>
  <c r="E17" i="4"/>
  <c r="C9" i="4"/>
  <c r="F4" i="4"/>
  <c r="AA975" i="3"/>
  <c r="M975" i="3"/>
  <c r="AA949" i="3"/>
  <c r="AA919" i="3"/>
  <c r="AA918" i="3"/>
  <c r="AC889" i="3"/>
  <c r="W871" i="3"/>
  <c r="W866" i="3"/>
  <c r="W861" i="3"/>
  <c r="W857" i="3"/>
  <c r="W853" i="3"/>
  <c r="W846" i="3"/>
  <c r="Z813" i="3"/>
  <c r="Z806" i="3"/>
  <c r="T773" i="3"/>
  <c r="Q628" i="3"/>
  <c r="T627" i="3"/>
  <c r="Q627" i="3"/>
  <c r="C631" i="3"/>
  <c r="C630" i="3"/>
  <c r="Q555" i="3"/>
  <c r="AG448" i="3"/>
  <c r="AG442" i="3"/>
  <c r="AG443" i="3" s="1"/>
  <c r="I421" i="3"/>
  <c r="F9" i="4" l="1"/>
  <c r="T9" i="4"/>
  <c r="E25" i="4"/>
  <c r="S25" i="4"/>
  <c r="E40" i="4"/>
  <c r="S40" i="4"/>
  <c r="E43" i="4"/>
  <c r="S43" i="4"/>
  <c r="E95" i="4"/>
  <c r="S95" i="4"/>
  <c r="BE103" i="3"/>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S46" i="21"/>
  <c r="L47" i="21"/>
  <c r="M47" i="21"/>
  <c r="O47" i="21" s="1"/>
  <c r="N47" i="21"/>
  <c r="R47" i="21" a="1"/>
  <c r="R47" i="21" s="1"/>
  <c r="S47" i="21"/>
  <c r="T47" i="21"/>
  <c r="U47" i="21"/>
  <c r="L48" i="21"/>
  <c r="M48" i="21"/>
  <c r="O48" i="21" s="1"/>
  <c r="N48" i="21"/>
  <c r="S48" i="21"/>
  <c r="L49" i="21"/>
  <c r="M49" i="21"/>
  <c r="N49" i="21"/>
  <c r="O49" i="21"/>
  <c r="P49" i="21" a="1"/>
  <c r="P49" i="21" s="1"/>
  <c r="R49" i="21" a="1"/>
  <c r="R49" i="21" s="1"/>
  <c r="S49" i="21"/>
  <c r="T49" i="21"/>
  <c r="U49" i="21"/>
  <c r="L50" i="21"/>
  <c r="M50" i="21"/>
  <c r="T50" i="21" s="1"/>
  <c r="N50" i="21"/>
  <c r="O50" i="21"/>
  <c r="P50" i="21" a="1"/>
  <c r="P50" i="21" s="1"/>
  <c r="S50" i="21"/>
  <c r="U50" i="21"/>
  <c r="L51" i="21"/>
  <c r="M51" i="21"/>
  <c r="P51" i="21" s="1" a="1"/>
  <c r="P51" i="21" s="1"/>
  <c r="N51" i="21"/>
  <c r="R51" i="21" a="1"/>
  <c r="R51" i="21" s="1"/>
  <c r="U51" i="21"/>
  <c r="L52" i="21"/>
  <c r="M52" i="21"/>
  <c r="R52" i="21" s="1" a="1"/>
  <c r="R52" i="21" s="1"/>
  <c r="N52" i="21"/>
  <c r="P52" i="21" a="1"/>
  <c r="P52" i="21" s="1"/>
  <c r="S52" i="21"/>
  <c r="L53" i="21"/>
  <c r="M53" i="21"/>
  <c r="P53" i="21" s="1" a="1"/>
  <c r="P53" i="21" s="1"/>
  <c r="N53" i="21"/>
  <c r="R53" i="21" a="1"/>
  <c r="R53" i="21" s="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O51" i="21" l="1"/>
  <c r="P48" i="21" a="1"/>
  <c r="P48" i="21" s="1"/>
  <c r="T46" i="21"/>
  <c r="U53" i="21"/>
  <c r="T51" i="21"/>
  <c r="U48" i="21"/>
  <c r="T53" i="21"/>
  <c r="S51" i="21"/>
  <c r="T48" i="21"/>
  <c r="R48" i="21" a="1"/>
  <c r="R48" i="21" s="1"/>
  <c r="U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0" i="8"/>
  <c r="I20" i="8"/>
  <c r="J18" i="8"/>
  <c r="I18" i="8"/>
  <c r="J16" i="8"/>
  <c r="I16" i="8"/>
  <c r="J14" i="8"/>
  <c r="I14" i="8"/>
  <c r="J11" i="8"/>
  <c r="I11" i="8"/>
  <c r="I4" i="8"/>
  <c r="J4" i="8" s="1"/>
  <c r="AH750" i="3"/>
  <c r="AH749" i="3"/>
  <c r="AH748" i="3"/>
  <c r="AH747" i="3"/>
  <c r="AH746" i="3"/>
  <c r="AH745" i="3"/>
  <c r="AH744" i="3"/>
  <c r="AH743" i="3"/>
  <c r="AH741" i="3"/>
  <c r="AH740" i="3"/>
  <c r="AH739" i="3"/>
  <c r="AH738" i="3"/>
  <c r="AH737"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M37" i="21"/>
  <c r="M38" i="2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F96" i="13" s="1"/>
  <c r="E84" i="13"/>
  <c r="F84" i="13" s="1"/>
  <c r="E79" i="13"/>
  <c r="F79" i="13" s="1"/>
  <c r="E65" i="13"/>
  <c r="F65" i="13" s="1"/>
  <c r="E53" i="13"/>
  <c r="F53" i="13" s="1"/>
  <c r="E52" i="13"/>
  <c r="F52" i="13" s="1"/>
  <c r="E51" i="13"/>
  <c r="F51" i="13" s="1"/>
  <c r="E50" i="13"/>
  <c r="F50" i="13" s="1"/>
  <c r="E49" i="13"/>
  <c r="F49" i="13" s="1"/>
  <c r="E48" i="13"/>
  <c r="F48" i="13" s="1"/>
  <c r="F54" i="13" s="1"/>
  <c r="E47" i="13"/>
  <c r="F47" i="13" s="1"/>
  <c r="E46" i="13"/>
  <c r="F46" i="13" s="1"/>
  <c r="E45" i="13"/>
  <c r="F45" i="13" s="1"/>
  <c r="E43" i="13"/>
  <c r="F43" i="13" s="1"/>
  <c r="E41" i="13"/>
  <c r="E40" i="13"/>
  <c r="F40" i="13" s="1"/>
  <c r="E37" i="13"/>
  <c r="E35" i="13"/>
  <c r="E34" i="13"/>
  <c r="E33" i="13"/>
  <c r="E32" i="13"/>
  <c r="E31" i="13"/>
  <c r="E30"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C96"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C77" i="13" s="1"/>
  <c r="B74" i="13"/>
  <c r="B73" i="13"/>
  <c r="B72" i="13"/>
  <c r="B65" i="13"/>
  <c r="C65" i="13" s="1"/>
  <c r="C70" i="13" s="1"/>
  <c r="B61" i="13"/>
  <c r="B60" i="13"/>
  <c r="B59" i="13"/>
  <c r="B58" i="13"/>
  <c r="B57" i="13"/>
  <c r="B56" i="13"/>
  <c r="C56" i="13" s="1"/>
  <c r="B53" i="13"/>
  <c r="C53" i="13" s="1"/>
  <c r="B52" i="13"/>
  <c r="C52" i="13" s="1"/>
  <c r="B51" i="13"/>
  <c r="C51" i="13" s="1"/>
  <c r="C54" i="13" s="1"/>
  <c r="B50" i="13"/>
  <c r="C50" i="13" s="1"/>
  <c r="B49" i="13"/>
  <c r="C49" i="13" s="1"/>
  <c r="B48" i="13"/>
  <c r="C48" i="13" s="1"/>
  <c r="B47" i="13"/>
  <c r="C47" i="13" s="1"/>
  <c r="B46" i="13"/>
  <c r="C46" i="13" s="1"/>
  <c r="B45" i="13"/>
  <c r="C45" i="13" s="1"/>
  <c r="B43" i="13"/>
  <c r="C43" i="13" s="1"/>
  <c r="C42" i="4"/>
  <c r="B42" i="13" s="1"/>
  <c r="B41" i="13"/>
  <c r="B40" i="13"/>
  <c r="C40"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D77" i="13"/>
  <c r="J70" i="13"/>
  <c r="I70" i="13"/>
  <c r="G70" i="13"/>
  <c r="F70" i="13"/>
  <c r="D70" i="13"/>
  <c r="D62" i="13"/>
  <c r="C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J5" i="8" s="1"/>
  <c r="A6" i="8"/>
  <c r="D6" i="8"/>
  <c r="I6" i="8" s="1"/>
  <c r="J6" i="8" s="1"/>
  <c r="A7" i="8"/>
  <c r="D7" i="8"/>
  <c r="I7" i="8" s="1"/>
  <c r="A8" i="8"/>
  <c r="D8" i="8"/>
  <c r="I8" i="8" s="1"/>
  <c r="J8" i="8" s="1"/>
  <c r="A9" i="8"/>
  <c r="D9" i="8"/>
  <c r="I9" i="8" s="1"/>
  <c r="J9" i="8" s="1"/>
  <c r="A10" i="8"/>
  <c r="D10" i="8"/>
  <c r="I10" i="8" s="1"/>
  <c r="J10" i="8" s="1"/>
  <c r="A11" i="8"/>
  <c r="D11" i="8"/>
  <c r="A12" i="8"/>
  <c r="D12" i="8"/>
  <c r="I12" i="8" s="1"/>
  <c r="J12" i="8" s="1"/>
  <c r="A13" i="8"/>
  <c r="D13" i="8"/>
  <c r="I13" i="8" s="1"/>
  <c r="A14" i="8"/>
  <c r="D14" i="8"/>
  <c r="A15" i="8"/>
  <c r="D15" i="8"/>
  <c r="I15" i="8" s="1"/>
  <c r="A16" i="8"/>
  <c r="D16" i="8"/>
  <c r="A17" i="8"/>
  <c r="D17" i="8"/>
  <c r="I17" i="8" s="1"/>
  <c r="J17" i="8" s="1"/>
  <c r="A18" i="8"/>
  <c r="D18" i="8"/>
  <c r="A19" i="8"/>
  <c r="D19" i="8"/>
  <c r="I19" i="8" s="1"/>
  <c r="J19" i="8" s="1"/>
  <c r="A20" i="8"/>
  <c r="D20" i="8"/>
  <c r="A21" i="8"/>
  <c r="D21" i="8"/>
  <c r="I21" i="8" s="1"/>
  <c r="J21" i="8" s="1"/>
  <c r="A22" i="8"/>
  <c r="D22" i="8"/>
  <c r="I22" i="8" s="1"/>
  <c r="J22" i="8" s="1"/>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X738" i="3"/>
  <c r="X739" i="3"/>
  <c r="X740" i="3"/>
  <c r="X741" i="3"/>
  <c r="M832" i="3"/>
  <c r="Q832" i="3"/>
  <c r="U832" i="3"/>
  <c r="Y832" i="3"/>
  <c r="AC832" i="3"/>
  <c r="AG832" i="3"/>
  <c r="Z902" i="3"/>
  <c r="D35" i="11"/>
  <c r="C81" i="13" l="1"/>
  <c r="F81" i="13"/>
  <c r="J15" i="8"/>
  <c r="J13" i="8"/>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3" i="21"/>
  <c r="O31" i="21"/>
  <c r="O30" i="21"/>
  <c r="O25" i="21"/>
  <c r="O26" i="21"/>
  <c r="O34" i="21"/>
  <c r="P34" i="21" s="1" a="1"/>
  <c r="P34" i="21" s="1"/>
  <c r="S34" i="21" s="1"/>
  <c r="O38" i="21"/>
  <c r="P38" i="21" s="1" a="1"/>
  <c r="P38" i="21" s="1"/>
  <c r="S38" i="21" s="1"/>
  <c r="O27" i="21"/>
  <c r="O35" i="21"/>
  <c r="P35" i="21" s="1" a="1"/>
  <c r="P35" i="21" s="1"/>
  <c r="S35" i="21" s="1"/>
  <c r="O36" i="21"/>
  <c r="P36" i="21" s="1" a="1"/>
  <c r="P36" i="21" s="1"/>
  <c r="S36" i="21" s="1"/>
  <c r="O21" i="21"/>
  <c r="O29" i="21"/>
  <c r="O37" i="21"/>
  <c r="P37" i="21" s="1" a="1"/>
  <c r="P37" i="21" s="1"/>
  <c r="S37" i="21" s="1"/>
  <c r="O22" i="21"/>
  <c r="O28" i="21"/>
  <c r="O24" i="21"/>
  <c r="O32" i="21"/>
  <c r="P32" i="21" s="1" a="1"/>
  <c r="P32" i="21" s="1"/>
  <c r="S32" i="21" s="1"/>
  <c r="O33" i="21"/>
  <c r="P33" i="21" s="1" a="1"/>
  <c r="P33" i="21" s="1"/>
  <c r="S33" i="21" s="1"/>
  <c r="O20" i="2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T805" i="20"/>
  <c r="AF805" i="20" s="1"/>
  <c r="BE72"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N185" i="23"/>
  <c r="BE22" i="3"/>
  <c r="AB49" i="15"/>
  <c r="S107" i="4"/>
  <c r="E105" i="13"/>
  <c r="BA1056" i="3"/>
  <c r="AZ1051" i="3"/>
  <c r="H105" i="13"/>
  <c r="T107" i="4"/>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0" i="3" l="1"/>
  <c r="AJ1029" i="3"/>
  <c r="AJ1032" i="3"/>
  <c r="AJ1036" i="3" s="1"/>
  <c r="I15" i="21" s="1"/>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D64" i="15" l="1"/>
  <c r="AD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62AFF2C-A7D7-4328-85F3-A5F3E91D5221}">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<sst xmlns="http://schemas.openxmlformats.org/spreadsheetml/2006/main" count="5091" uniqueCount="2780">
  <si>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</si>
  <si>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</si>
  <si>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</si>
  <si>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</si>
  <si>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</si>
  <si>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</si>
  <si>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</si>
  <si>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</si>
  <si>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</si>
  <si>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</si>
  <si>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</si>
  <si>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</si>
  <si>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</si>
  <si>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</si>
  <si>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</si>
  <si>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</si>
  <si>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</si>
  <si>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</si>
  <si>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</si>
  <si>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</si>
  <si>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</si>
  <si>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</si>
  <si>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</si>
  <si>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</si>
  <si>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</si>
  <si>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</si>
  <si>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</si>
  <si>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</si>
  <si>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</si>
  <si>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</si>
  <si>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</si>
  <si>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</si>
  <si>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</si>
  <si>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</si>
  <si>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</si>
  <si>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</si>
  <si>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</si>
  <si>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</si>
  <si>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</si>
  <si>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</si>
  <si>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</si>
  <si>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</si>
  <si>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</si>
  <si>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</si>
  <si>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</si>
  <si>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</si>
  <si>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</si>
  <si>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</si>
  <si>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</si>
  <si>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</si>
  <si>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</si>
  <si>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</si>
  <si>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</si>
  <si>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</si>
  <si>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</si>
  <si>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</si>
  <si>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</si>
  <si>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</si>
  <si>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</si>
  <si>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</si>
  <si>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</si>
  <si>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</si>
  <si>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</si>
  <si>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</si>
  <si>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</si>
  <si>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</si>
  <si>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</si>
  <si>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</si>
  <si>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</si>
  <si>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</si>
  <si>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</si>
  <si>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</si>
  <si>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</si>
  <si>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</si>
  <si>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</si>
  <si>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</si>
  <si>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</si>
  <si>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</si>
  <si>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</si>
  <si>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</si>
  <si>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</si>
  <si>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</si>
  <si>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</si>
  <si>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</si>
  <si>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</si>
  <si>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</si>
  <si>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</si>
  <si>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</si>
  <si>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</si>
  <si>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</si>
  <si>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</si>
  <si>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</si>
  <si>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</si>
  <si>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</si>
  <si>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</si>
  <si>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</si>
  <si>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</si>
  <si>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</si>
  <si>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</si>
  <si>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</si>
  <si>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</si>
  <si>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</si>
  <si>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</si>
  <si>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</si>
  <si>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</si>
  <si>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</si>
  <si>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</si>
  <si>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</si>
  <si>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</si>
  <si>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</si>
  <si>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</si>
  <si>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</si>
  <si>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</si>
  <si>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</si>
  <si>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</si>
  <si>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</si>
  <si>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</si>
  <si>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</si>
  <si>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</si>
  <si>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</si>
  <si>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</si>
  <si>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</si>
  <si>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</si>
  <si>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</si>
  <si>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</si>
  <si>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</si>
  <si>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</si>
  <si>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</si>
  <si>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</si>
  <si>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</si>
  <si>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</si>
  <si>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</si>
  <si>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</si>
  <si>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</si>
  <si>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</si>
  <si>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</si>
  <si>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</si>
  <si>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</si>
  <si>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</si>
  <si>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</si>
  <si>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</si>
  <si>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</si>
  <si>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</si>
  <si>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</si>
  <si>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</si>
  <si>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</si>
  <si>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</si>
  <si>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</si>
  <si>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</si>
  <si>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</si>
  <si>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</si>
  <si>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</si>
  <si>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</si>
  <si>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</si>
  <si>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</si>
  <si>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</si>
  <si>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</si>
  <si>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</si>
  <si>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</si>
  <si>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</si>
  <si>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</si>
  <si>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</si>
  <si>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</si>
  <si>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</si>
  <si>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</si>
  <si>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</si>
  <si>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</si>
  <si>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</si>
  <si>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</si>
  <si>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</si>
  <si>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</si>
  <si>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</si>
  <si>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</si>
  <si>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</si>
  <si>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</si>
  <si>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</si>
  <si>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</si>
  <si>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</si>
  <si>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</si>
  <si>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</si>
  <si>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</si>
  <si>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</si>
  <si>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</si>
  <si>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</si>
  <si>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</si>
  <si>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</si>
  <si>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</si>
  <si>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</si>
  <si>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</si>
  <si>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</si>
  <si>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</si>
  <si>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</si>
  <si>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</si>
  <si>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</si>
  <si>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</si>
  <si>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</si>
  <si>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</si>
  <si>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</si>
  <si>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</si>
  <si>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</si>
  <si>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</si>
  <si>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</si>
  <si>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</si>
  <si>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</si>
  <si>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</si>
  <si>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</si>
  <si>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</si>
  <si>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</si>
  <si>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</si>
  <si>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</si>
  <si>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</si>
  <si>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</si>
  <si>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</si>
  <si>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</si>
  <si>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</si>
  <si>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</si>
  <si>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</si>
  <si>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</si>
  <si>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</si>
  <si>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</si>
  <si>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</si>
  <si>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</si>
  <si>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</si>
  <si>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</si>
  <si>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</si>
  <si>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</si>
  <si>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</si>
  <si>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</si>
  <si>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</si>
  <si>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</si>
  <si>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</si>
  <si>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</si>
  <si>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</si>
  <si>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</si>
  <si>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</si>
  <si>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</si>
  <si>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</si>
  <si>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</si>
  <si>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</si>
  <si>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</si>
  <si>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</si>
  <si>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</si>
  <si>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</si>
  <si>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</si>
  <si>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</si>
  <si>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</si>
  <si>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</si>
  <si>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</si>
  <si>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</si>
  <si>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</si>
  <si>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</si>
  <si>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</si>
  <si>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</si>
  <si>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</si>
  <si>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</si>
  <si>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</si>
  <si>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</si>
  <si>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</si>
  <si>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</si>
  <si>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</si>
  <si>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</si>
  <si>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</si>
  <si>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</si>
  <si>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</si>
  <si>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</si>
  <si>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</si>
  <si>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</si>
  <si>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</si>
  <si>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</si>
  <si>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</si>
  <si>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</si>
  <si>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</si>
  <si>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</si>
  <si>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</si>
  <si>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</si>
  <si>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</si>
  <si>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</si>
  <si>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</si>
  <si>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</si>
  <si>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</si>
  <si>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</si>
  <si>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</si>
  <si>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</si>
  <si>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</si>
  <si>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</si>
  <si>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</si>
  <si>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</si>
  <si>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</si>
  <si>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</si>
  <si>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</si>
  <si>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</si>
  <si>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</si>
  <si>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</si>
  <si>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</si>
  <si>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</si>
  <si>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</si>
  <si>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</si>
  <si>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</si>
  <si>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</si>
  <si>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</si>
  <si>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</si>
  <si>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</si>
  <si>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</si>
  <si>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</si>
  <si>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</si>
  <si>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</si>
  <si>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</si>
  <si>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</si>
  <si>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</si>
  <si>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</si>
  <si>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</si>
  <si>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</si>
  <si>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</si>
  <si>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</si>
  <si>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</si>
  <si>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</si>
  <si>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</si>
  <si>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</si>
  <si>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</si>
  <si>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</si>
  <si>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</si>
  <si>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</si>
  <si>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</si>
  <si>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</si>
  <si>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</si>
  <si>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</si>
  <si>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</si>
  <si>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</si>
  <si>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</si>
  <si>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</si>
  <si>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</si>
  <si>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</si>
  <si>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</si>
  <si>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</si>
  <si>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</si>
  <si>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</si>
  <si>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</si>
  <si>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</si>
  <si>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</si>
  <si>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</si>
  <si>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</si>
  <si>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</si>
  <si>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</si>
  <si>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</si>
  <si>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</si>
  <si>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</si>
  <si>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</si>
  <si>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</si>
  <si>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</si>
  <si>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</si>
  <si>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</si>
  <si>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</si>
  <si>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</si>
  <si>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</si>
  <si>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</si>
  <si>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</si>
  <si>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</si>
  <si>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</si>
  <si>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</si>
  <si>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</si>
  <si>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</si>
  <si>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</si>
  <si>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</si>
  <si>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</si>
  <si>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</si>
  <si>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</si>
  <si>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</si>
  <si>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</si>
  <si>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</si>
  <si>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</si>
  <si>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</si>
  <si>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</si>
  <si>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</si>
  <si>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</si>
  <si>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</si>
  <si>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</si>
  <si>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</si>
  <si>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</si>
  <si>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</si>
  <si>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</si>
  <si>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</si>
  <si>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</si>
  <si>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</si>
  <si>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</si>
  <si>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</si>
  <si>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</si>
  <si>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</si>
  <si>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</si>
  <si>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</si>
  <si>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</si>
  <si>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</si>
  <si>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</si>
  <si>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</si>
  <si>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</si>
  <si>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</si>
  <si>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</si>
  <si>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</si>
  <si>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</si>
  <si>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</si>
  <si>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</si>
  <si>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</si>
  <si>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</si>
  <si>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</si>
  <si>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</si>
  <si>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</si>
  <si>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</si>
  <si>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</si>
  <si>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</si>
  <si>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</si>
  <si>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</si>
  <si>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</si>
  <si>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</si>
  <si>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</si>
  <si>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</si>
  <si>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</si>
  <si>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</si>
  <si>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</si>
  <si>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</si>
  <si>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</si>
  <si>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</si>
  <si>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</si>
  <si>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</si>
  <si>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</si>
  <si>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</si>
  <si>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</si>
  <si>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</si>
  <si>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</si>
  <si>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</si>
  <si>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</si>
  <si>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</si>
  <si>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</si>
  <si>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</si>
  <si>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</si>
  <si>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</si>
  <si>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</si>
  <si>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</si>
  <si>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</si>
  <si>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</si>
  <si>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</si>
  <si>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</si>
  <si>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</si>
  <si>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</si>
  <si>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</si>
  <si>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</si>
  <si>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</si>
  <si>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</si>
  <si>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</si>
  <si>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</si>
  <si>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</si>
  <si>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</si>
  <si>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</si>
  <si>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</si>
  <si>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</si>
  <si>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</si>
  <si>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</si>
  <si>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</si>
  <si>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</si>
  <si>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</si>
  <si>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</si>
  <si>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</si>
  <si>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</si>
  <si>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</si>
  <si>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</si>
  <si>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</si>
  <si>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</si>
  <si>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</si>
  <si>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</si>
  <si>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</si>
  <si>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</si>
  <si>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</si>
  <si>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</si>
  <si>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</si>
  <si>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</si>
  <si>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</si>
  <si>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</si>
  <si>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</si>
  <si>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</si>
  <si>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</si>
  <si>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</si>
  <si>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</si>
  <si>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</si>
  <si>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</si>
  <si>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</si>
  <si>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</si>
  <si>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</si>
  <si>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</si>
  <si>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</si>
  <si>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</si>
  <si>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</si>
  <si>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</si>
  <si>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</si>
  <si>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</si>
  <si>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</si>
  <si>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</si>
  <si>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</si>
  <si>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</si>
  <si>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</si>
  <si>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</si>
  <si>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</si>
  <si>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</si>
  <si>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</si>
  <si>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</si>
  <si>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</si>
  <si>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</si>
  <si>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</si>
  <si>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</si>
  <si>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</si>
  <si>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</si>
  <si>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</si>
  <si>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</si>
  <si>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</si>
  <si>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</si>
  <si>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</si>
  <si>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</si>
  <si>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</si>
  <si>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</si>
  <si>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</si>
  <si>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</si>
  <si>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</si>
  <si>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</si>
  <si>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</si>
  <si>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</si>
  <si>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</si>
  <si>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</si>
  <si>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</si>
  <si>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</si>
  <si>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</si>
  <si>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</si>
  <si>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</si>
  <si>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</si>
  <si>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</si>
  <si>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</si>
  <si>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</si>
  <si>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</si>
  <si>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</si>
  <si>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</si>
  <si>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</si>
  <si>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</si>
  <si>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</si>
  <si>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</si>
  <si>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</si>
  <si>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</si>
  <si>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</si>
  <si>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</si>
  <si>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</si>
  <si>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</si>
  <si>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</si>
  <si>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</si>
  <si>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</si>
  <si>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</si>
  <si>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</si>
  <si>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</si>
  <si>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</si>
  <si>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</si>
  <si>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</si>
  <si>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</si>
  <si>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</si>
  <si>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</si>
  <si>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</si>
  <si>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</si>
  <si>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</si>
  <si>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</si>
  <si>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</si>
  <si>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</si>
  <si>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</si>
  <si>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</si>
  <si>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</si>
  <si>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</si>
  <si>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</si>
  <si>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</si>
  <si>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</si>
  <si>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</si>
  <si>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</si>
  <si>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</si>
  <si>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</si>
  <si>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</si>
  <si>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</si>
  <si>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</si>
  <si>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</si>
  <si>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</si>
  <si>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</si>
  <si>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</si>
  <si>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</si>
  <si>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</si>
  <si>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</si>
  <si>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</si>
  <si>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</si>
  <si>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</si>
  <si>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</si>
  <si>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</si>
  <si>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</si>
  <si>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</si>
  <si>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</si>
  <si>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</si>
  <si>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</si>
  <si>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</si>
  <si>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</si>
  <si>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</si>
  <si>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</si>
  <si>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</si>
  <si>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</si>
  <si>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</si>
  <si>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</si>
  <si>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</si>
  <si>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</si>
  <si>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</si>
  <si>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</si>
  <si>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</si>
  <si>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</si>
  <si>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</si>
  <si>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</si>
  <si>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</si>
  <si>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</si>
  <si>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</si>
  <si>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</si>
  <si>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</si>
  <si>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</si>
  <si>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</si>
  <si>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</si>
  <si>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</si>
  <si>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</si>
  <si>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</si>
  <si>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</si>
  <si>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</si>
  <si>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</si>
  <si>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</si>
  <si>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</si>
  <si>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</si>
  <si>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</si>
  <si>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</si>
  <si>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</si>
  <si>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</si>
  <si>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</si>
  <si>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</si>
  <si>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</si>
  <si>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</si>
  <si>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</si>
  <si>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</si>
  <si>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</si>
  <si>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</si>
  <si>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</si>
  <si>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</si>
  <si>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</si>
  <si>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</si>
  <si>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</si>
  <si>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</si>
  <si>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</si>
  <si>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</si>
  <si>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</si>
  <si>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</si>
  <si>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</si>
  <si>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</si>
  <si>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</si>
  <si>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</si>
  <si>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</si>
  <si>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</si>
  <si>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</si>
  <si>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</si>
  <si>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</si>
  <si>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</si>
  <si>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</si>
  <si>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</si>
  <si>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</si>
  <si>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</si>
  <si>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</si>
  <si>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</si>
  <si>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</si>
  <si>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</si>
  <si>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</si>
  <si>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</si>
  <si>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</si>
  <si>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</si>
  <si>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</si>
  <si>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</si>
  <si>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</si>
  <si>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</si>
  <si>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</si>
  <si>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</si>
  <si>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</si>
  <si>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</si>
  <si>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</si>
  <si>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</si>
  <si>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</si>
  <si>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</si>
  <si>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</si>
  <si>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</si>
  <si>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</si>
  <si>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</si>
  <si>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</si>
  <si>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</si>
  <si>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</si>
  <si>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</si>
  <si>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</si>
  <si>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</si>
  <si>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</si>
  <si>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</si>
  <si>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</si>
  <si>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</si>
  <si>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</si>
  <si>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</si>
  <si>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</si>
  <si>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</si>
  <si>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</si>
  <si>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</si>
  <si>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</si>
  <si>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</si>
  <si>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</si>
  <si>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</si>
  <si>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</si>
  <si>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</si>
  <si>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</si>
  <si>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</si>
  <si>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</si>
  <si>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</si>
  <si>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</si>
  <si>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</si>
  <si>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</si>
  <si>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</si>
  <si>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</si>
  <si>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</si>
  <si>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</si>
  <si>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</si>
  <si>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</si>
  <si>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</si>
  <si>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</si>
  <si>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</si>
  <si>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</si>
  <si>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</si>
  <si>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</si>
  <si>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</si>
  <si>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</si>
  <si>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</si>
  <si>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</si>
  <si>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</si>
  <si>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</si>
  <si>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</si>
  <si>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</si>
  <si>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</si>
  <si>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</si>
  <si>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</si>
  <si>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</si>
  <si>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</si>
  <si>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</si>
  <si>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</si>
  <si>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</si>
  <si>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</si>
  <si>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</si>
  <si>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</si>
  <si>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</si>
  <si>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</si>
  <si>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</si>
  <si>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</si>
  <si>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</si>
  <si>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</si>
  <si>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</si>
  <si>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</si>
  <si>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</si>
  <si>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</si>
  <si>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</si>
  <si>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</si>
  <si>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</si>
  <si>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</si>
  <si>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</si>
  <si>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</si>
  <si>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</si>
  <si>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</si>
  <si>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</si>
  <si>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</si>
  <si>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</si>
  <si>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</si>
  <si>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</si>
  <si>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</si>
  <si>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</si>
  <si>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</si>
  <si>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</si>
  <si>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</si>
  <si>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</si>
  <si>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</si>
  <si>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</si>
  <si>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</si>
  <si>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</si>
  <si>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</si>
  <si>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</si>
  <si>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</si>
  <si>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</si>
  <si>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</si>
  <si>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</si>
  <si>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</si>
  <si>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</si>
  <si>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</si>
  <si>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</si>
  <si>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</si>
  <si>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</si>
  <si>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</si>
  <si>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</si>
  <si>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</si>
  <si>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</si>
  <si>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</si>
  <si>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</si>
  <si>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</si>
  <si>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</si>
  <si>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</si>
  <si>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</si>
  <si>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</si>
  <si>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</si>
  <si>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</si>
  <si>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</si>
  <si>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</si>
  <si>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</si>
  <si>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</si>
  <si>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</si>
  <si>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</si>
  <si>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</si>
  <si>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</si>
  <si>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</si>
  <si>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</si>
  <si>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</si>
  <si>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</si>
  <si>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</si>
  <si>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</si>
  <si>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</si>
  <si>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</si>
  <si>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</si>
  <si>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</si>
  <si>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</si>
  <si>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</si>
  <si>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</si>
  <si>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</si>
  <si>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</si>
  <si>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</si>
  <si>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</si>
  <si>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</si>
  <si>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</si>
  <si>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</si>
  <si>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</si>
  <si>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</si>
  <si>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</si>
  <si>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</si>
  <si>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</si>
  <si>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</si>
  <si>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</si>
  <si>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</si>
  <si>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</si>
  <si>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</si>
  <si>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</si>
  <si>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</si>
  <si>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</si>
  <si>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</si>
  <si>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</si>
  <si>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</si>
  <si>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</si>
  <si>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</si>
  <si>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</si>
  <si>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</si>
  <si>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</si>
  <si>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</si>
  <si>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</si>
  <si>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</si>
  <si>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</si>
  <si>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</si>
  <si>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</si>
  <si>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</si>
  <si>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</si>
  <si>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</si>
  <si>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</si>
  <si>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</si>
  <si>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</si>
  <si>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</si>
  <si>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</si>
  <si>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</si>
  <si>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</si>
  <si>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</si>
  <si>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</si>
  <si>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</si>
  <si>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</si>
  <si>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</si>
  <si>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</si>
  <si>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</si>
  <si>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</si>
  <si>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</si>
  <si>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</si>
  <si>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</si>
  <si>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</si>
  <si>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</si>
  <si>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</si>
  <si>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</si>
  <si>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</si>
  <si>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</si>
  <si>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</si>
  <si>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</si>
  <si>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</si>
  <si>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</si>
  <si>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</si>
  <si>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</si>
  <si>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</si>
  <si>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</si>
  <si>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</si>
  <si>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</si>
  <si>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</si>
  <si>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</si>
  <si>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</si>
  <si>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</si>
  <si>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</si>
  <si>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</si>
  <si>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</si>
  <si>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</si>
  <si>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</si>
  <si>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</si>
  <si>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</si>
  <si>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</si>
  <si>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</si>
  <si>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</si>
  <si>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</si>
  <si>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</si>
  <si>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</si>
  <si>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</si>
  <si>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</si>
  <si>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</si>
  <si>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</si>
  <si>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</si>
  <si>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</si>
  <si>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</si>
  <si>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</si>
  <si>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</si>
  <si>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</si>
  <si>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</si>
  <si>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</si>
  <si>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</si>
  <si>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</si>
  <si>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</si>
  <si>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</si>
  <si>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</si>
  <si>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</si>
  <si>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</si>
  <si>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</si>
  <si>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</si>
  <si>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</si>
  <si>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</si>
  <si>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</si>
  <si>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</si>
  <si>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</si>
  <si>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</si>
  <si>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</si>
  <si>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</si>
  <si>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</si>
  <si>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</si>
  <si>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</si>
  <si>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</si>
  <si>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</si>
  <si>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</si>
  <si>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</si>
  <si>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</si>
  <si>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</si>
  <si>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</si>
  <si>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</si>
  <si>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</si>
  <si>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</si>
  <si>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</si>
  <si>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</si>
  <si>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</si>
  <si>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</si>
  <si>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</si>
  <si>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</si>
  <si>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</si>
  <si>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</si>
  <si>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</si>
  <si>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</si>
  <si>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</si>
  <si>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</si>
  <si>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</si>
  <si>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</si>
  <si>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</si>
  <si>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</si>
  <si>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</si>
  <si>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</si>
  <si>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</si>
  <si>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</si>
  <si>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</si>
  <si>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</si>
  <si>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</si>
  <si>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</si>
  <si>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</si>
  <si>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</si>
  <si>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</si>
  <si>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</si>
  <si>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</si>
  <si>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</si>
  <si>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</si>
  <si>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</si>
  <si>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</si>
  <si>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</si>
  <si>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</si>
  <si>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</si>
  <si>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</si>
  <si>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</si>
  <si>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</si>
  <si>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</si>
  <si>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</si>
  <si>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</si>
  <si>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</si>
  <si>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</si>
  <si>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</si>
  <si>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</si>
  <si>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</si>
  <si>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</si>
  <si>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</si>
  <si>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</si>
  <si>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</si>
  <si>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</si>
  <si>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</si>
  <si>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</si>
  <si>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</si>
  <si>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</si>
  <si>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</si>
  <si>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</si>
  <si>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</si>
  <si>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</si>
  <si>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</si>
  <si>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</si>
  <si>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</si>
  <si>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</si>
  <si>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</si>
  <si>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</si>
  <si>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</si>
  <si>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</si>
  <si>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</si>
  <si>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</si>
  <si>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</si>
  <si>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</si>
  <si>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</si>
  <si>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</si>
  <si>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</si>
  <si>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</si>
  <si>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</si>
  <si>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</si>
  <si>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</si>
  <si>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</si>
  <si>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</si>
  <si>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</si>
  <si>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</si>
  <si>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</si>
  <si>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</si>
  <si>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</si>
  <si>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</si>
  <si>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</si>
  <si>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</si>
  <si>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</si>
  <si>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</si>
  <si>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</si>
  <si>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</si>
  <si>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</si>
  <si>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</si>
  <si>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</si>
  <si>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</si>
  <si>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</si>
  <si>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</si>
  <si>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</si>
  <si>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</si>
  <si>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</si>
  <si>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</si>
  <si>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</si>
  <si>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</si>
  <si>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</si>
  <si>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</si>
  <si>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</si>
  <si>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</si>
  <si>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</si>
  <si>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</si>
  <si>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</si>
  <si>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</si>
  <si>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</si>
  <si>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</si>
  <si>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</si>
  <si>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</si>
  <si>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</si>
  <si>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</si>
  <si>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</si>
  <si>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</si>
  <si>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</si>
  <si>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</si>
  <si>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</si>
  <si>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</si>
  <si>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</si>
  <si>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</si>
  <si>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</si>
  <si>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</si>
  <si>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</si>
  <si>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</si>
  <si>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</si>
  <si>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</si>
  <si>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</si>
  <si>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</si>
  <si>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</si>
  <si>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</si>
  <si>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</si>
  <si>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</si>
  <si>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</si>
  <si>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</si>
  <si>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</si>
  <si>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</si>
  <si>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</si>
  <si>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</si>
  <si>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</si>
  <si>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</si>
  <si>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</si>
  <si>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</si>
  <si>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</si>
  <si>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</si>
  <si>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</si>
  <si>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</si>
  <si>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</si>
  <si>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</si>
  <si>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</si>
  <si>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</si>
  <si>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</si>
  <si>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</si>
  <si>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</si>
  <si>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</si>
  <si>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</si>
  <si>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</si>
  <si>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</si>
  <si>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</si>
  <si>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</si>
  <si>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</si>
  <si>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</si>
  <si>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</si>
  <si>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</si>
  <si>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</si>
  <si>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</si>
  <si>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</si>
  <si>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</si>
  <si>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</si>
  <si>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</si>
  <si>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</si>
  <si>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</si>
  <si>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</si>
  <si>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</si>
  <si>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</si>
  <si>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</si>
  <si>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</si>
  <si>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</si>
  <si>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</si>
  <si>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</si>
  <si>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</si>
  <si>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</si>
  <si>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</si>
  <si>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</si>
  <si>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</si>
  <si>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</si>
  <si>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</si>
  <si>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</si>
  <si>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</si>
  <si>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</si>
  <si>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</si>
  <si>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</si>
  <si>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</si>
  <si>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</si>
  <si>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</si>
  <si>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</si>
  <si>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</si>
  <si>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</si>
  <si>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</si>
  <si>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</si>
  <si>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</si>
  <si>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</si>
  <si>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</si>
  <si>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</si>
  <si>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</si>
  <si>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</si>
  <si>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</si>
  <si>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</si>
  <si>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</si>
  <si>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</si>
  <si>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</si>
  <si>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</si>
  <si>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</si>
  <si>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</si>
  <si>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</si>
  <si>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</si>
  <si>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</si>
  <si>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</si>
  <si>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</si>
  <si>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</si>
  <si>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</si>
  <si>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</si>
  <si>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</si>
  <si>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</si>
  <si>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</si>
  <si>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</si>
  <si>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</si>
  <si>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</si>
  <si>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</si>
  <si>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</si>
  <si>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</si>
  <si>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</si>
  <si>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</si>
  <si>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</si>
  <si>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</si>
  <si>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</si>
  <si>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</si>
  <si>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</si>
  <si>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</si>
  <si>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</si>
  <si>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</si>
  <si>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</si>
  <si>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</si>
  <si>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</si>
  <si>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</si>
  <si>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</si>
  <si>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</si>
  <si>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</si>
  <si>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</si>
  <si>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</si>
  <si>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</si>
  <si>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</si>
  <si>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</si>
  <si>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</si>
  <si>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</si>
  <si>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</si>
  <si>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</si>
  <si>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</si>
  <si>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</si>
  <si>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</si>
  <si>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</si>
  <si>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</si>
  <si>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</si>
  <si>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</si>
  <si>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</si>
  <si>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</si>
  <si>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</si>
  <si>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</si>
  <si>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</si>
  <si>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</si>
  <si>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</si>
  <si>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</si>
  <si>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</si>
  <si>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</si>
  <si>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</si>
  <si>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</si>
  <si>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</si>
  <si>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</si>
  <si>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</si>
  <si>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</si>
  <si>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</si>
  <si>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</si>
  <si>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</si>
  <si>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</si>
  <si>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</si>
  <si>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</si>
  <si>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</si>
  <si>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</si>
  <si>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</si>
  <si>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</si>
  <si>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</si>
  <si>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</si>
  <si>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</si>
  <si>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</si>
  <si>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</si>
  <si>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</si>
  <si>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</si>
  <si>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</si>
  <si>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</si>
  <si>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</si>
  <si>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</si>
  <si>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</si>
  <si>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</si>
  <si>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</si>
  <si>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</si>
  <si>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</si>
  <si>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</si>
  <si>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</si>
  <si>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</si>
  <si>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</si>
  <si>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</si>
  <si>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</si>
  <si>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</si>
  <si>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</si>
  <si>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</si>
  <si>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</si>
  <si>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</si>
  <si>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</si>
  <si>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</si>
  <si>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</si>
  <si>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</si>
  <si>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</si>
  <si>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</si>
  <si>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</si>
  <si>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</si>
  <si>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</si>
  <si>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</si>
  <si>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</si>
  <si>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</si>
  <si>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</si>
  <si>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</si>
  <si>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</si>
  <si>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</si>
  <si>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</si>
  <si>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</si>
  <si>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</si>
  <si>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</si>
  <si>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</si>
  <si>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</si>
  <si>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</si>
  <si>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</si>
  <si>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</si>
  <si>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</si>
  <si>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</si>
  <si>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</si>
  <si>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</si>
  <si>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</si>
  <si>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</si>
  <si>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</si>
  <si>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</si>
  <si>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</si>
  <si>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</si>
  <si>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</si>
  <si>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</si>
  <si>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</si>
  <si>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</si>
  <si>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</si>
  <si>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</si>
  <si>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</si>
  <si>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</si>
  <si>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</si>
  <si>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</si>
  <si>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</si>
  <si>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</si>
  <si>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</si>
  <si>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</si>
  <si>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</si>
  <si>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</si>
  <si>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</si>
  <si>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</si>
  <si>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</si>
  <si>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</si>
  <si>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</si>
  <si>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</si>
  <si>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</si>
  <si>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</si>
  <si>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</si>
  <si>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</si>
  <si>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</si>
  <si>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</si>
  <si>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</si>
  <si>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</si>
  <si>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</si>
  <si>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</si>
  <si>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</si>
  <si>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</si>
  <si>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</si>
  <si>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</si>
  <si>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</si>
  <si>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</si>
  <si>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</si>
  <si>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</si>
  <si>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</si>
  <si>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</si>
  <si>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</si>
  <si>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</si>
  <si>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</si>
  <si>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</si>
  <si>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</si>
  <si>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</si>
  <si>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</si>
  <si>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</si>
  <si>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</si>
  <si>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</si>
  <si>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</si>
  <si>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</si>
  <si>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</si>
  <si>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</si>
  <si>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</si>
  <si>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</si>
  <si>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</si>
  <si>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</si>
  <si>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</si>
  <si>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</si>
  <si>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</si>
  <si>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</si>
  <si>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</si>
  <si>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</si>
  <si>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</si>
  <si>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</si>
  <si>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</si>
  <si>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</si>
  <si>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</si>
  <si>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</si>
  <si>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</si>
  <si>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</si>
  <si>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</si>
  <si>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</si>
  <si>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</si>
  <si>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</si>
  <si>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</si>
  <si>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</si>
  <si>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</si>
  <si>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</si>
  <si>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</si>
  <si>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</si>
  <si>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</si>
  <si>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</si>
  <si>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</si>
  <si>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</si>
  <si>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</si>
  <si>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</si>
  <si>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</si>
  <si>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</si>
  <si>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</si>
  <si>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</si>
  <si>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</si>
  <si>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</si>
  <si>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</si>
  <si>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</si>
  <si>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</si>
  <si>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</si>
  <si>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</si>
  <si>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</si>
  <si>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</si>
  <si>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</si>
  <si>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</si>
  <si>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</si>
  <si>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</si>
  <si>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</si>
  <si>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</si>
  <si>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</si>
  <si>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</si>
  <si>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</si>
  <si>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</si>
  <si>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</si>
  <si>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</si>
  <si>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</si>
  <si>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</si>
  <si>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</si>
  <si>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</si>
  <si>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</si>
  <si>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</si>
  <si>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</si>
  <si>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</si>
  <si>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</si>
  <si>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</si>
  <si>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</si>
  <si>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</si>
  <si>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</si>
  <si>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</si>
  <si>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</si>
  <si>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</si>
  <si>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</si>
  <si>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</si>
  <si>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</si>
  <si>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</si>
  <si>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</si>
  <si>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</si>
  <si>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</si>
  <si>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</si>
  <si>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</si>
  <si>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</si>
  <si>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</si>
  <si>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</si>
  <si>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</si>
  <si>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</si>
  <si>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</si>
  <si>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</si>
  <si>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</si>
  <si>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</si>
  <si>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</si>
  <si>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</si>
  <si>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</si>
  <si>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</si>
  <si>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</si>
  <si>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</si>
  <si>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</si>
  <si>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</si>
  <si>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</si>
  <si>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</si>
  <si>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</si>
  <si>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</si>
  <si>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</si>
  <si>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</si>
  <si>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</si>
  <si>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</si>
  <si>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</si>
  <si>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</si>
  <si>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</si>
  <si>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</si>
  <si>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</si>
  <si>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</si>
  <si>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</si>
  <si>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</si>
  <si>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</si>
  <si>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</si>
  <si>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</si>
  <si>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</si>
  <si>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</si>
  <si>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</si>
  <si>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</si>
  <si>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</si>
  <si>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</si>
  <si>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</si>
  <si>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</si>
  <si>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</si>
  <si>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</si>
  <si>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</si>
  <si>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</si>
  <si>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</si>
  <si>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</si>
  <si>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</si>
  <si>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</si>
  <si>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</si>
  <si>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</si>
  <si>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</si>
  <si>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</si>
  <si>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</si>
  <si>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</si>
  <si>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</si>
  <si>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</si>
  <si>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</si>
  <si>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</si>
  <si>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</si>
  <si>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</si>
  <si>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</si>
  <si>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</si>
  <si>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</si>
  <si>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</si>
  <si>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</si>
  <si>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</si>
  <si>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</si>
  <si>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</si>
  <si>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</si>
  <si>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</si>
  <si>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</si>
  <si>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</si>
  <si>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</si>
  <si>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</si>
  <si>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</si>
  <si>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</si>
  <si>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</si>
  <si>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</si>
  <si>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</si>
  <si>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</si>
  <si>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</si>
  <si>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</si>
  <si>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</si>
  <si>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</si>
  <si>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</si>
  <si>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</si>
  <si>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</si>
  <si>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</si>
  <si>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</si>
  <si>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</si>
  <si>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</si>
  <si>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</si>
  <si>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</si>
  <si>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</si>
  <si>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</si>
  <si>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</si>
  <si>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</si>
  <si>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</si>
  <si>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</si>
  <si>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</si>
  <si>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</si>
  <si>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</si>
  <si>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</si>
  <si>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</si>
  <si>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</si>
  <si>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</si>
  <si>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</si>
  <si>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</si>
  <si>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</si>
  <si>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</si>
  <si>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</si>
  <si>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</si>
  <si>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</si>
  <si>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</si>
  <si>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</si>
  <si>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</si>
  <si>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</si>
  <si>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</si>
  <si>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</si>
  <si>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</si>
  <si>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</si>
  <si>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</si>
  <si>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</si>
  <si>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</si>
  <si>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</si>
  <si>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</si>
  <si>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</si>
  <si>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</si>
  <si>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</si>
  <si>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</si>
  <si>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</si>
  <si>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</si>
  <si>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</si>
  <si>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</si>
  <si>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</si>
  <si>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</si>
  <si>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</si>
  <si>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</si>
  <si>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</si>
  <si>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</si>
  <si>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</si>
  <si>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</si>
  <si>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</si>
  <si>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</si>
  <si>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</si>
  <si>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</si>
  <si>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</si>
  <si>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</si>
  <si>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</si>
  <si>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</si>
  <si>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</si>
  <si>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</si>
  <si>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</si>
  <si>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</si>
  <si>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</si>
  <si>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</si>
  <si>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</si>
  <si>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</si>
  <si>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</si>
  <si>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</si>
  <si>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</si>
  <si>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</si>
  <si>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</si>
  <si>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</si>
  <si>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</si>
  <si>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</si>
  <si>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</si>
  <si>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</si>
  <si>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</si>
  <si>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</si>
  <si>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</si>
  <si>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</si>
  <si>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</si>
  <si>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</si>
  <si>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</si>
  <si>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</si>
  <si>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</si>
  <si>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</si>
  <si>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</si>
  <si>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</si>
  <si>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</si>
  <si>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</si>
  <si>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</si>
  <si>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</si>
  <si>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</si>
  <si>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</si>
  <si>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</si>
  <si>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</si>
  <si>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</si>
  <si>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</si>
  <si>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</si>
  <si>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</si>
  <si>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</si>
  <si>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</si>
  <si>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</si>
  <si>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</si>
  <si>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</si>
  <si>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</si>
  <si>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</si>
  <si>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</si>
  <si>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</si>
  <si>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</si>
  <si>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</si>
  <si>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</si>
  <si>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</si>
  <si>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</si>
  <si>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</si>
  <si>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</si>
  <si>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</si>
  <si>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</si>
  <si>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</si>
  <si>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</si>
  <si>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</si>
  <si>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</si>
  <si>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</si>
  <si>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</si>
  <si>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</si>
  <si>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</si>
  <si>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</si>
  <si>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</si>
  <si>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</si>
  <si>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</si>
  <si>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</si>
  <si>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</si>
  <si>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</si>
  <si>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</si>
  <si>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</si>
  <si>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</si>
  <si>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</si>
  <si>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</si>
  <si>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</si>
  <si>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</si>
  <si>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</si>
  <si>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</si>
  <si>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</si>
  <si>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</si>
  <si>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</si>
  <si>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</si>
  <si>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</si>
  <si>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</si>
  <si>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</si>
  <si>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</si>
  <si>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</si>
  <si>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</si>
  <si>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</si>
  <si>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</si>
  <si>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</si>
  <si>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</si>
  <si>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</si>
  <si>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</si>
  <si>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</si>
  <si>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</si>
  <si>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</si>
  <si>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</si>
  <si>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</si>
  <si>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</si>
  <si>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</si>
  <si>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</si>
  <si>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</si>
  <si>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</si>
  <si>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</si>
  <si>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</si>
  <si>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</si>
  <si>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</si>
  <si>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</si>
  <si>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</si>
  <si>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</si>
  <si>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</si>
  <si>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</si>
  <si>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</si>
  <si>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</si>
  <si>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</si>
  <si>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</si>
  <si>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</si>
  <si>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</si>
  <si>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</si>
  <si>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</si>
  <si>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</si>
  <si>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</si>
  <si>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</si>
  <si>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</si>
  <si>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</si>
  <si>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</si>
  <si>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</si>
  <si>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</si>
  <si>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</si>
  <si>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</si>
  <si>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</si>
  <si>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</si>
  <si>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</si>
  <si>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</si>
  <si>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</si>
  <si>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</si>
  <si>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</si>
  <si>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</si>
  <si>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</si>
  <si>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</si>
  <si>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</si>
  <si>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</si>
  <si>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</si>
  <si>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</si>
  <si>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</si>
  <si>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</si>
  <si>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</si>
  <si>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</si>
  <si>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</si>
  <si>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</si>
  <si>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</si>
  <si>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</si>
  <si>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</si>
  <si>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</si>
  <si>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</si>
  <si>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</si>
  <si>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</si>
  <si>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</si>
  <si>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</si>
  <si>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</si>
  <si>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</si>
  <si>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</si>
  <si>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</si>
  <si>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</si>
  <si>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</si>
  <si>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</si>
  <si>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</si>
  <si>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</si>
  <si>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</si>
  <si>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</si>
  <si>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</si>
  <si>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</si>
  <si>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</si>
  <si>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</si>
  <si>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</si>
  <si>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</si>
  <si>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</si>
  <si>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</si>
  <si>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</si>
  <si>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</si>
  <si>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</si>
  <si>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</si>
  <si>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</si>
  <si>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</si>
  <si>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</si>
  <si>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</si>
  <si>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</si>
  <si>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</si>
  <si>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</si>
  <si>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</si>
  <si>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</si>
  <si>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</si>
  <si>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</si>
  <si>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</si>
  <si>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</si>
  <si>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</si>
  <si>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</si>
  <si>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</si>
  <si>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</si>
  <si>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</si>
  <si>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</si>
  <si>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</si>
  <si>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</si>
  <si>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</si>
  <si>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</si>
  <si>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</si>
  <si>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</si>
  <si>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</si>
  <si>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</si>
  <si>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</si>
  <si>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</si>
  <si>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</si>
  <si>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</si>
  <si>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</si>
  <si>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</si>
  <si>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</si>
  <si>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</si>
  <si>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</si>
  <si>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</si>
  <si>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</si>
  <si>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</si>
  <si>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</si>
  <si>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</si>
  <si>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</si>
  <si>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</si>
  <si>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</si>
  <si>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</si>
  <si>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</si>
  <si>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</si>
  <si>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</si>
  <si>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</si>
  <si>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</si>
  <si>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</si>
  <si>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</si>
  <si>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</si>
  <si>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</si>
  <si>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</si>
  <si>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</si>
  <si>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</si>
  <si>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</si>
  <si>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</si>
  <si>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</si>
  <si>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</si>
  <si>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</si>
  <si>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</si>
  <si>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</si>
  <si>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</si>
  <si>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</si>
  <si>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</si>
  <si>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</si>
  <si>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</si>
  <si>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</si>
  <si>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</si>
  <si>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</si>
  <si>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</si>
  <si>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</si>
  <si>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</si>
  <si>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</si>
  <si>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</si>
  <si>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</si>
  <si>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</si>
  <si>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</si>
  <si>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</si>
  <si>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</si>
  <si>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</si>
  <si>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</si>
  <si>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</si>
  <si>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</si>
  <si>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</si>
  <si>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</si>
  <si>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</si>
  <si>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</si>
  <si>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</si>
  <si>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</si>
  <si>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</si>
  <si>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</si>
  <si>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</si>
  <si>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</si>
  <si>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</si>
  <si>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</si>
  <si>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</si>
  <si>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</si>
  <si>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</si>
  <si>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</si>
  <si>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</si>
  <si>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</si>
  <si>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</si>
  <si>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</si>
  <si>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</si>
  <si>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</si>
  <si>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</si>
  <si>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</si>
  <si>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</si>
  <si>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</si>
  <si>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</si>
  <si>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</si>
  <si>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</si>
  <si>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</si>
  <si>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</si>
  <si>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</si>
  <si>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</si>
  <si>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</si>
  <si>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</si>
  <si>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</si>
  <si>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</si>
  <si>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</si>
  <si>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</si>
  <si>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</si>
  <si>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</si>
  <si>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</si>
  <si>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</si>
  <si>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</si>
  <si>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</si>
  <si>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</si>
  <si>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</si>
  <si>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</si>
  <si>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</si>
  <si>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</si>
  <si>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</si>
  <si>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</si>
  <si>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</si>
  <si>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</si>
  <si>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</si>
  <si>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</si>
  <si>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</si>
  <si>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</si>
  <si>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</si>
  <si>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</si>
  <si>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</si>
  <si>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</si>
  <si>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</si>
  <si>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</si>
  <si>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</si>
  <si>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</si>
  <si>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</si>
  <si>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</si>
  <si>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</si>
  <si>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</si>
  <si>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</si>
  <si>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</si>
  <si>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</si>
  <si>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</si>
  <si>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</si>
  <si>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</si>
  <si>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</si>
  <si>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</si>
  <si>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</si>
  <si>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</si>
  <si>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</si>
  <si>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</si>
  <si>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</si>
  <si>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</si>
  <si>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</si>
  <si>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</si>
  <si>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</si>
  <si>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</si>
  <si>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</si>
  <si>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</si>
  <si>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</si>
  <si>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</si>
  <si>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</si>
  <si>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</si>
  <si>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</si>
  <si>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</si>
  <si>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</si>
  <si>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</si>
  <si>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</si>
  <si>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</si>
  <si>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</si>
  <si>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</si>
  <si>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</si>
  <si>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</si>
  <si>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</si>
  <si>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</si>
  <si>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</si>
  <si>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</si>
  <si>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</si>
  <si>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</si>
  <si>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</si>
  <si>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</si>
  <si>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</si>
  <si>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</si>
  <si>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</si>
  <si>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</si>
  <si>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</si>
  <si>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</si>
  <si>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</si>
  <si>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</si>
  <si>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</si>
  <si>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</si>
  <si>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</si>
  <si>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</si>
  <si>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</si>
  <si>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</si>
  <si>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</si>
  <si>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</si>
  <si>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</si>
  <si>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</si>
  <si>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</si>
  <si>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</si>
  <si>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</si>
  <si>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</si>
  <si>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</si>
  <si>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</si>
  <si>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</si>
  <si>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</si>
  <si>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</si>
  <si>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</si>
  <si>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</si>
  <si>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</si>
  <si>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</si>
  <si>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</si>
  <si>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</si>
  <si>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</si>
  <si>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</si>
  <si>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</si>
  <si>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</si>
  <si>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</si>
  <si>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</si>
  <si>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</si>
  <si>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</si>
  <si>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</si>
  <si>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</si>
  <si>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</si>
  <si>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</si>
  <si>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</si>
  <si>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</si>
  <si>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</si>
  <si>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</si>
  <si>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</si>
  <si>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</si>
  <si>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</si>
  <si>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</si>
  <si>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</si>
  <si>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</si>
  <si>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</si>
  <si>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</si>
  <si>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</si>
  <si>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</si>
  <si>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</si>
  <si>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</si>
  <si>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</si>
  <si>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</si>
  <si>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</si>
  <si>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</si>
  <si>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</si>
  <si>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</si>
  <si>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</si>
  <si>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</si>
  <si>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</si>
  <si>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</si>
  <si>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</si>
  <si>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</si>
  <si>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</si>
  <si>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</si>
  <si>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</si>
  <si>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</si>
  <si>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</si>
  <si>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</si>
  <si>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</si>
  <si>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</si>
  <si>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</si>
  <si>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</si>
  <si>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</si>
  <si>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</si>
  <si>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</si>
  <si>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</si>
  <si>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</si>
  <si>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</si>
  <si>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</si>
  <si>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</si>
  <si>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</si>
  <si>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</si>
  <si>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</si>
  <si>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</si>
  <si>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</si>
  <si>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</si>
  <si>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</si>
  <si>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</si>
  <si>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</si>
  <si>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</si>
  <si>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</si>
  <si>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</si>
  <si>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</si>
  <si>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</si>
  <si>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</si>
  <si>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</si>
  <si>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</si>
  <si>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</si>
  <si>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</si>
  <si>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</si>
  <si>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</si>
  <si>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</si>
  <si>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</si>
  <si>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</si>
  <si>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</si>
  <si>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</si>
  <si>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</si>
  <si>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</si>
  <si>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</si>
  <si>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</si>
  <si>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</si>
  <si>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</si>
  <si>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</si>
  <si>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</si>
  <si>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</si>
  <si>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</si>
  <si>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</si>
  <si>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</si>
  <si>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</si>
  <si>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</si>
  <si>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</si>
  <si>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</si>
  <si>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</si>
  <si>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</si>
  <si>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</si>
  <si>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</si>
  <si>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</si>
  <si>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</si>
  <si>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</si>
  <si>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</si>
  <si>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</si>
  <si>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</si>
  <si>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</si>
  <si>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</si>
  <si>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</si>
  <si>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</si>
  <si>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</si>
  <si>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</si>
  <si>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</si>
  <si>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</si>
  <si>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</si>
  <si>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</si>
  <si>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</si>
  <si>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</si>
  <si>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</si>
  <si>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</si>
  <si>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</si>
  <si>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</si>
  <si>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</si>
  <si>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</si>
  <si>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</si>
  <si>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</si>
  <si>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</si>
  <si>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</si>
  <si>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</si>
  <si>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</si>
  <si>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</si>
  <si>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</si>
  <si>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</si>
  <si>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</si>
  <si>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</si>
  <si>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</si>
  <si>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</si>
  <si>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</si>
  <si>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</si>
  <si>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</si>
  <si>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</si>
  <si>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</si>
  <si>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</si>
  <si>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</si>
  <si>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</si>
  <si>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</si>
  <si>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</si>
  <si>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</si>
  <si>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</si>
  <si>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</si>
  <si>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</si>
  <si>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</si>
  <si>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</si>
  <si>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</si>
  <si>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</si>
  <si>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</si>
  <si>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</si>
  <si>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</si>
  <si>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</si>
  <si>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</si>
  <si>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</si>
  <si>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</si>
  <si>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</si>
  <si>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</si>
  <si>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</si>
  <si>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</si>
  <si>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</si>
  <si>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</si>
  <si>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</si>
  <si>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</si>
  <si>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</si>
  <si>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</si>
  <si>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</si>
  <si>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</si>
  <si>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</si>
  <si>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</si>
  <si>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</si>
  <si>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</si>
  <si>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</si>
  <si>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</si>
  <si>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</si>
  <si>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</si>
  <si>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</si>
  <si>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</si>
  <si>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</si>
  <si>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</si>
  <si>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</si>
  <si>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</si>
  <si>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</si>
  <si>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</si>
  <si>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</si>
  <si>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</si>
  <si>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</si>
  <si>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</si>
  <si>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</si>
  <si>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</si>
  <si>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</si>
  <si>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</si>
  <si>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</si>
  <si>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</si>
  <si>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</si>
  <si>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</si>
  <si>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</si>
  <si>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</si>
  <si>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</si>
  <si>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</si>
  <si>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</si>
  <si>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</si>
  <si>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</si>
  <si>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</si>
  <si>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</si>
  <si>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</si>
  <si>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</si>
  <si>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</si>
  <si>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</si>
  <si>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</si>
  <si>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</si>
  <si>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</si>
  <si>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</si>
  <si>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</si>
  <si>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</si>
  <si>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</si>
  <si>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</si>
  <si>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</si>
  <si>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</si>
  <si>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</si>
  <si>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</si>
  <si>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</si>
  <si>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</si>
  <si>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</si>
  <si>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</si>
  <si>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</si>
  <si>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</si>
  <si>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</si>
  <si>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</si>
  <si>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</si>
  <si>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</si>
  <si>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</si>
  <si>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</si>
  <si>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</si>
  <si>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</si>
  <si>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</si>
  <si>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</si>
  <si>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</si>
  <si>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</si>
  <si>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</si>
  <si>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</si>
  <si>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</si>
  <si>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</si>
  <si>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</si>
  <si>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</si>
  <si>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</si>
  <si>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</si>
  <si>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</si>
  <si>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</si>
  <si>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</si>
  <si>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</si>
  <si>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</si>
  <si>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</si>
  <si>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</si>
  <si>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</si>
  <si>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</si>
  <si>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</si>
  <si>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</si>
  <si>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</si>
  <si>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</si>
  <si>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</si>
  <si>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</si>
  <si>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</si>
  <si>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</si>
  <si>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</si>
  <si>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</si>
  <si>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</si>
  <si>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</si>
  <si>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</si>
  <si>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</si>
  <si>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</si>
  <si>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</si>
  <si>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</si>
  <si>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</si>
  <si>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</si>
  <si>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</si>
  <si>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</si>
  <si>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</si>
  <si>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</si>
  <si>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</si>
  <si>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</si>
  <si>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</si>
  <si>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</si>
  <si>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</si>
  <si>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</si>
  <si>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</si>
  <si>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</si>
  <si>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</si>
  <si>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</si>
  <si>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</si>
  <si>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</si>
  <si>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</si>
  <si>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</si>
  <si>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</si>
  <si>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</si>
  <si>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</si>
  <si>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</si>
  <si>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</si>
  <si>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</si>
  <si>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</si>
  <si>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</si>
  <si>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</si>
  <si>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</si>
  <si>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</si>
  <si>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</si>
  <si>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</si>
  <si>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</si>
  <si>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</si>
  <si>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</si>
  <si>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</si>
  <si>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</si>
  <si>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</si>
  <si>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</si>
  <si>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</si>
  <si>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</si>
  <si>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</si>
  <si>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</si>
  <si>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</si>
  <si>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</si>
  <si>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</si>
  <si>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</si>
  <si>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</si>
  <si>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</si>
  <si>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</si>
  <si>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</si>
  <si>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</si>
  <si>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</si>
  <si>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</si>
  <si>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</si>
  <si>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</si>
  <si>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</si>
  <si>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</si>
  <si>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</si>
  <si>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</si>
  <si>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</si>
  <si>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</si>
  <si>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</si>
  <si>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</si>
  <si>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</si>
  <si>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</si>
  <si>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</si>
  <si>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</si>
  <si>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</si>
  <si>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</si>
  <si>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</si>
  <si>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</si>
  <si>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</si>
  <si>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</si>
  <si>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</si>
  <si>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</si>
  <si>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</si>
  <si>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</si>
  <si>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</si>
  <si>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</si>
  <si>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</si>
  <si>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</si>
  <si>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</si>
  <si>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</si>
  <si>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</si>
  <si>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</si>
  <si>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</si>
  <si>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</si>
  <si>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</si>
  <si>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</si>
  <si>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</si>
  <si>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</si>
  <si>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</si>
  <si>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</si>
  <si>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</si>
  <si>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</si>
  <si>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</si>
  <si>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</si>
  <si>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</si>
  <si>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</si>
  <si>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</si>
  <si>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</si>
  <si>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</si>
  <si>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</si>
  <si>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</si>
  <si>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</si>
  <si>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</si>
  <si>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</si>
  <si>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</si>
  <si>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</si>
  <si>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</si>
  <si>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</si>
  <si>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</si>
  <si>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</si>
  <si>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</si>
  <si>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</si>
  <si>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</si>
  <si>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</si>
  <si>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</si>
  <si>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</si>
  <si>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</si>
  <si>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</si>
  <si>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</si>
  <si>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</si>
  <si>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</si>
  <si>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</si>
  <si>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</si>
  <si>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</si>
  <si>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</si>
  <si>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</si>
  <si>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</si>
  <si>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</si>
  <si>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</si>
  <si>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</si>
  <si>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</si>
  <si>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</si>
  <si>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</si>
  <si>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</si>
  <si>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</si>
  <si>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</si>
  <si>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</si>
  <si>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</si>
  <si>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</si>
  <si>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</si>
  <si>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</si>
  <si>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</si>
  <si>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</si>
  <si>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</si>
  <si>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</si>
  <si>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</si>
  <si>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</si>
  <si>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</si>
  <si>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</si>
  <si>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</si>
  <si>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</si>
  <si>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</si>
  <si>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</si>
  <si>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</si>
  <si>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</si>
  <si>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</si>
  <si>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</si>
  <si>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</si>
  <si>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</si>
  <si>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</si>
  <si>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</si>
  <si>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</si>
  <si>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</si>
  <si>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</si>
  <si>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</si>
  <si>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</si>
  <si>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</si>
  <si>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</si>
  <si>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</si>
  <si>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</si>
  <si>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</si>
  <si>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</si>
  <si>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</si>
  <si>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</si>
  <si>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</si>
  <si>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</si>
  <si>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</si>
  <si>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</si>
  <si>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</si>
  <si>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</si>
  <si>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</si>
  <si>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</si>
  <si>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</si>
  <si>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</si>
  <si>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</si>
  <si>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</si>
  <si>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</si>
  <si>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</si>
  <si>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</si>
  <si>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</si>
  <si>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</si>
  <si>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</si>
  <si>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</si>
  <si>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</si>
  <si>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</si>
  <si>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</si>
  <si>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</si>
  <si>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</si>
  <si>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</si>
  <si>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</si>
  <si>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</si>
  <si>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</si>
  <si>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</si>
  <si>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</si>
  <si>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</si>
  <si>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</si>
  <si>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</si>
  <si>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</si>
  <si>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</si>
  <si>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</si>
  <si>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</si>
  <si>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</si>
  <si>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</si>
  <si>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</si>
  <si>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</si>
  <si>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</si>
  <si>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</si>
  <si>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</si>
  <si>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</si>
  <si>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</si>
  <si>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</si>
  <si>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</si>
  <si>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</si>
  <si>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</si>
  <si>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</si>
  <si>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</si>
  <si>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</si>
  <si>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</si>
  <si>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</si>
  <si>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</si>
  <si>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</si>
  <si>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</si>
  <si>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</si>
  <si>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</si>
  <si>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</si>
  <si>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</si>
  <si>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</si>
  <si>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</si>
  <si>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</si>
  <si>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</si>
  <si>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</si>
  <si>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</si>
  <si>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</si>
  <si>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</si>
  <si>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</si>
  <si>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</si>
  <si>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</si>
  <si>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</si>
  <si>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</si>
  <si>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</si>
  <si>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</si>
  <si>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</si>
  <si>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</si>
  <si>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</si>
  <si>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</si>
  <si>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</si>
  <si>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</si>
  <si>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</si>
  <si>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</si>
  <si>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</si>
  <si>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</si>
  <si>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</si>
  <si>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</si>
  <si>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</si>
  <si>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</si>
  <si>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</si>
  <si>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</si>
  <si>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</si>
  <si>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</si>
  <si>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</si>
  <si>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</si>
  <si>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</si>
  <si>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</si>
  <si>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</si>
  <si>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</si>
  <si>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</si>
  <si>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</si>
  <si>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</si>
  <si>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</si>
  <si>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</si>
  <si>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</si>
  <si>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</si>
  <si>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</si>
  <si>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</si>
  <si>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</si>
  <si>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</si>
  <si>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</si>
  <si>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</si>
  <si>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</si>
  <si>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</si>
  <si>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</si>
  <si>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</si>
  <si>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</si>
  <si>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</si>
  <si>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</si>
  <si>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</si>
  <si>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Santa Monica Towers LP</t>
  </si>
  <si>
    <t>Santa Monica Christian Towers</t>
  </si>
  <si>
    <t>Jordan Pynes</t>
  </si>
  <si>
    <t>President of GP of Applicant</t>
  </si>
  <si>
    <t>City of Santa Monica</t>
  </si>
  <si>
    <t>Elaine Polacheck</t>
  </si>
  <si>
    <t>1685 Main Street</t>
  </si>
  <si>
    <t>Santa Monica</t>
  </si>
  <si>
    <t>310-458-8411</t>
  </si>
  <si>
    <t>Susan.Cline@santamonica.gov</t>
  </si>
  <si>
    <t>1233 6th Street</t>
  </si>
  <si>
    <t>4291-006-024</t>
  </si>
  <si>
    <t>40%/60% Average Income</t>
  </si>
  <si>
    <t>11811 San Vicente Boulevard</t>
  </si>
  <si>
    <t>CA</t>
  </si>
  <si>
    <t>Anthony Yannatta; Sara Dabbs</t>
  </si>
  <si>
    <t>310-820-4888</t>
  </si>
  <si>
    <t>tsaapplications@tsahousing.com</t>
  </si>
  <si>
    <t>TSA Housing, Inc.</t>
  </si>
  <si>
    <t>SMT TSA Housing LLC</t>
  </si>
  <si>
    <t>Administrative GP</t>
  </si>
  <si>
    <t>RCC MGP LLC</t>
  </si>
  <si>
    <t>Managing GP</t>
  </si>
  <si>
    <t>14131 Yorba Street, Ste 204</t>
  </si>
  <si>
    <t xml:space="preserve">Tustin </t>
  </si>
  <si>
    <t>Ken Robertson</t>
  </si>
  <si>
    <t>714-803-7200</t>
  </si>
  <si>
    <t>ksr@riversidecharitable.org</t>
  </si>
  <si>
    <t xml:space="preserve">Riverside Charitable Corporation (RCC)																		</t>
  </si>
  <si>
    <t>To-Be-Formed Co-General Partner LLC</t>
  </si>
  <si>
    <t>William T. Dawson</t>
  </si>
  <si>
    <t>310-453-3341</t>
  </si>
  <si>
    <t>bill@sdrsm.com</t>
  </si>
  <si>
    <t>The Santa Monica Christian Towers, Inc.</t>
  </si>
  <si>
    <t>Harkiran Chauhan; Sara Dabbs</t>
  </si>
  <si>
    <t>Developer</t>
  </si>
  <si>
    <t>Los Angeles, CA 90049</t>
  </si>
  <si>
    <t>Bocarsly Emden</t>
  </si>
  <si>
    <t>633 W. 5th Street, 70th Floor</t>
  </si>
  <si>
    <t>Los Angeles, CA, 90071</t>
  </si>
  <si>
    <t>Nicole Deddens</t>
  </si>
  <si>
    <t>213.239.8029</t>
  </si>
  <si>
    <t>ndeddens@bocarsly.com</t>
  </si>
  <si>
    <t>Eugene Cowan</t>
  </si>
  <si>
    <t>213-239-8029</t>
  </si>
  <si>
    <t>ecowan@bocarsly.com</t>
  </si>
  <si>
    <t>Dauby O'Connor &amp; Zaleski, LLC</t>
  </si>
  <si>
    <t>501 Congressional Blvd Ste 300</t>
  </si>
  <si>
    <t>Carmel, Indiana 46032</t>
  </si>
  <si>
    <t xml:space="preserve">Heather Perry </t>
  </si>
  <si>
    <t>317.848.5700</t>
  </si>
  <si>
    <t>317.815.6140</t>
  </si>
  <si>
    <t>hperry@doz.net</t>
  </si>
  <si>
    <t>KFA, LLP</t>
  </si>
  <si>
    <t>3573 Hayden Avenue</t>
  </si>
  <si>
    <t>Culver City, CA 90232</t>
  </si>
  <si>
    <t>Tarrah Beebe</t>
  </si>
  <si>
    <t>310-399-7975</t>
  </si>
  <si>
    <t>tarrah@kfalosangeles.com</t>
  </si>
  <si>
    <t>Morley Construction Company</t>
  </si>
  <si>
    <t>3330 Ocean Park Boulevard</t>
  </si>
  <si>
    <t>Santa Monica, CA 90405</t>
  </si>
  <si>
    <t>J.D. Crans</t>
  </si>
  <si>
    <t>310-566-9264</t>
  </si>
  <si>
    <t>jcrans@morleybuilders.com</t>
  </si>
  <si>
    <t>Partner Energy</t>
  </si>
  <si>
    <t>2154 Torrance Boulevard</t>
  </si>
  <si>
    <t>Torrance, CA 90501</t>
  </si>
  <si>
    <t>Jayne Lee</t>
  </si>
  <si>
    <t>310-956-3702</t>
  </si>
  <si>
    <t>jlee@ptrenergy.com</t>
  </si>
  <si>
    <t>National Equity Fund (NEF)</t>
  </si>
  <si>
    <t>500 S. Grand Avenue, Suite 2300</t>
  </si>
  <si>
    <t>Todd Fabian</t>
  </si>
  <si>
    <t>213-240-3144</t>
  </si>
  <si>
    <t>tfabian@nefinc.org</t>
  </si>
  <si>
    <t>Doyle Real Estate Advisors, LLC</t>
  </si>
  <si>
    <t>1601 Walnut Street, Suite 509</t>
  </si>
  <si>
    <t>Philadelphia, PA 19102</t>
  </si>
  <si>
    <t>Cameron Dix</t>
  </si>
  <si>
    <t>215-231-9900</t>
  </si>
  <si>
    <t>Cameron@DoyleAdvisors.com</t>
  </si>
  <si>
    <t>Partner Engineering and Science, Inc.</t>
  </si>
  <si>
    <t>1391 Speer Boulevard, Suite 800</t>
  </si>
  <si>
    <t>Denver, Colorado 80203</t>
  </si>
  <si>
    <t>Marissa Jones</t>
  </si>
  <si>
    <t>224-443-0411</t>
  </si>
  <si>
    <t>mjones@partneresi.com</t>
  </si>
  <si>
    <t>California Housing Finance Agency</t>
  </si>
  <si>
    <t>500 Capitol Mall, Suite 400</t>
  </si>
  <si>
    <t>Sacramento, CA 95814</t>
  </si>
  <si>
    <t>Stephanie J. McFadden</t>
  </si>
  <si>
    <t>916-326-8000</t>
  </si>
  <si>
    <t>acarroll@CalHFA.ca.gov</t>
  </si>
  <si>
    <t>Thomas Safran &amp; Associates, Inc.</t>
  </si>
  <si>
    <t>Amanda Garza</t>
  </si>
  <si>
    <t xml:space="preserve">(424) 372-9819 </t>
  </si>
  <si>
    <t>amanda@tsahousing.com</t>
  </si>
  <si>
    <t>Falkenberg/Gilliam &amp; Associates</t>
  </si>
  <si>
    <t>1560 West Colorado Boulevard</t>
  </si>
  <si>
    <t>Pasadena, CA 91105</t>
  </si>
  <si>
    <t>Bart Young</t>
  </si>
  <si>
    <t xml:space="preserve">323-258-3512 </t>
  </si>
  <si>
    <t xml:space="preserve">BartYoung@fga-net.com </t>
  </si>
  <si>
    <t>Appraisal</t>
  </si>
  <si>
    <t>1 building</t>
  </si>
  <si>
    <t>13 stories</t>
  </si>
  <si>
    <t>163 units</t>
  </si>
  <si>
    <t>Multi-family low-income housing for seniors aged 62+</t>
  </si>
  <si>
    <t>61 years</t>
  </si>
  <si>
    <t>President</t>
  </si>
  <si>
    <t>1233 6th Street, Santa Monica, CA</t>
  </si>
  <si>
    <t>Secured by Fee Interest</t>
  </si>
  <si>
    <t>Other (Specify below)</t>
  </si>
  <si>
    <t xml:space="preserve">The project is a 13-story high rise with 2 elevators with parking in a 1st floor garage and open parking deck on the 2nd floor. The project has 163 units, 161 of which are low-income units for seniors. </t>
  </si>
  <si>
    <t>Seniors Aged 62+</t>
  </si>
  <si>
    <t>L(1)(3) - Residential, 5 or more apartments</t>
  </si>
  <si>
    <t>NV: Neighborhood Village; Downtown Community Plan Area</t>
  </si>
  <si>
    <t>84 feet</t>
  </si>
  <si>
    <t>Seller Note</t>
  </si>
  <si>
    <t>Tax Exempt Bonds: Citibank TE Construction Loan + Tax Exempt Seller's Note</t>
  </si>
  <si>
    <t>Variable</t>
  </si>
  <si>
    <t>Tax Exempt Seller's Note</t>
  </si>
  <si>
    <t>Citibank Recycled Tax Exempt Bonds Construction Loan</t>
  </si>
  <si>
    <t>Citibank Taxable Construction Loan</t>
  </si>
  <si>
    <t>Transfer of Project Reserves</t>
  </si>
  <si>
    <t xml:space="preserve">NOI During Construction </t>
  </si>
  <si>
    <t>Deferred Reserves</t>
  </si>
  <si>
    <t>NEF Tax Credit Equity</t>
  </si>
  <si>
    <t>300 South Grand Avenue, Suite 3110</t>
  </si>
  <si>
    <t>Los Angeles, CA 90071</t>
  </si>
  <si>
    <t>Hao Li</t>
  </si>
  <si>
    <t>(213) 239-1914</t>
  </si>
  <si>
    <t>Tax Exempt - Construction Loan</t>
  </si>
  <si>
    <t>Santa Monica, CA 90401</t>
  </si>
  <si>
    <t>Long Term Applicable Federal Rate</t>
  </si>
  <si>
    <t>Recycled Tax Exempt Bonds - Construction Loan</t>
  </si>
  <si>
    <t>Taxable - Construction Loan</t>
  </si>
  <si>
    <t>11811 San Vicente Blvd</t>
  </si>
  <si>
    <t>Deferred Costs</t>
  </si>
  <si>
    <t>Tax Credit Equity</t>
  </si>
  <si>
    <t>Citibank Permanent Loan</t>
  </si>
  <si>
    <t>Tax-Exempt Seller's Note</t>
  </si>
  <si>
    <t>Permanent Loan</t>
  </si>
  <si>
    <t>Seller's Note</t>
  </si>
  <si>
    <t>Transfer of Project Reserves from Seller</t>
  </si>
  <si>
    <t>Santa Monica Housing Authority</t>
  </si>
  <si>
    <t>Office Supplies / Computers / Telephone</t>
  </si>
  <si>
    <t>Payroll Taxes + Benefits</t>
  </si>
  <si>
    <t>Supplies</t>
  </si>
  <si>
    <t>Fire Protection</t>
  </si>
  <si>
    <t>Recycled Tax Exempt Bonds</t>
  </si>
  <si>
    <t>Project-based vouchers (PBVs)</t>
  </si>
  <si>
    <t>SMHA PBVs - 126 units</t>
  </si>
  <si>
    <t>Seismic Upgrading</t>
  </si>
  <si>
    <t>Other: P&amp;P Bond + Gross Tax Receipts</t>
  </si>
  <si>
    <t>Other: Capitalized Replacement Reserves</t>
  </si>
  <si>
    <t>Other: Soils &amp; Geotech</t>
  </si>
  <si>
    <t>Other: Deputy Inspections</t>
  </si>
  <si>
    <t>Other: PCNA + Third Party Reports</t>
  </si>
  <si>
    <t>Santa Monica Housing Authority (SMHA)</t>
  </si>
  <si>
    <t xml:space="preserve">Jordan Pynes, President, SMT TSA Housing LLC / TSA Housing Inc. </t>
  </si>
  <si>
    <t>Recyled Tax Exempt Bonds</t>
  </si>
  <si>
    <t>1 bedroom</t>
  </si>
  <si>
    <t>2 bedroom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</si>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</sst>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4" xfId="0"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4" fontId="24" fillId="43" borderId="6"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sahousing.sharepoint.com/sites/DevSite/Shared%20Documents/SMC%20Towers/Finance/2)%20Funding%20Apps/4%25%20App/1-28-25/Application%20FINAL/Santa%20Monica%20Towers%20E-application.xlsx" TargetMode="External"/><Relationship Id="rId1" Type="http://schemas.openxmlformats.org/officeDocument/2006/relationships/externalLinkPath" Target="https://tsahousing.sharepoint.com/sites/DevSite/Shared%20Documents/SMC%20Towers/Finance/2)%20Funding%20Apps/4%25%20App/1-28-25/Application%20FINAL/Santa%20Monica%20Towers%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1023">
          <cell r="AF1023">
            <v>12827097</v>
          </cell>
        </row>
      </sheetData>
      <sheetData sheetId="4"/>
      <sheetData sheetId="5"/>
      <sheetData sheetId="6"/>
      <sheetData sheetId="7"/>
      <sheetData sheetId="8">
        <row r="224">
          <cell r="I224">
            <v>2</v>
          </cell>
          <cell r="T224">
            <v>2818</v>
          </cell>
        </row>
        <row r="225">
          <cell r="I225">
            <v>6</v>
          </cell>
          <cell r="T225">
            <v>2885</v>
          </cell>
        </row>
        <row r="226">
          <cell r="I226">
            <v>1</v>
          </cell>
          <cell r="T226">
            <v>2951</v>
          </cell>
        </row>
        <row r="227">
          <cell r="I227">
            <v>1</v>
          </cell>
          <cell r="T227">
            <v>3245</v>
          </cell>
        </row>
        <row r="228">
          <cell r="I228">
            <v>79</v>
          </cell>
          <cell r="T228">
            <v>1512</v>
          </cell>
        </row>
        <row r="229">
          <cell r="I229">
            <v>38</v>
          </cell>
          <cell r="T229">
            <v>1624</v>
          </cell>
        </row>
        <row r="230">
          <cell r="I230">
            <v>9</v>
          </cell>
          <cell r="T230">
            <v>2300</v>
          </cell>
        </row>
      </sheetData>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G84" sqref="G8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59077784</v>
      </c>
      <c r="I3" s="1105"/>
    </row>
    <row r="4" spans="1:13" s="1051" customFormat="1" ht="20.100000000000001" customHeight="1">
      <c r="B4" s="1094"/>
      <c r="D4" s="1108"/>
      <c r="F4" s="1092" t="s">
        <v>1993</v>
      </c>
      <c r="G4" s="1091" t="s">
        <v>1992</v>
      </c>
      <c r="H4" s="1093">
        <f>I18</f>
        <v>55130718.954248369</v>
      </c>
      <c r="I4" s="1095"/>
      <c r="K4" s="1055"/>
    </row>
    <row r="5" spans="1:13" s="1051" customFormat="1" ht="20.100000000000001" customHeight="1" thickBot="1">
      <c r="B5" s="1096"/>
      <c r="C5" s="1097"/>
      <c r="D5" s="1109"/>
      <c r="E5" s="1098"/>
      <c r="F5" s="1109" t="s">
        <v>1943</v>
      </c>
      <c r="G5" s="1110"/>
      <c r="H5" s="1106">
        <f>IFERROR(H3/H4,0)</f>
        <v>1.0715946593953765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1941</v>
      </c>
      <c r="C8" s="2673"/>
      <c r="D8" s="2673"/>
      <c r="E8" s="2674"/>
      <c r="G8" s="2649" t="s">
        <v>1942</v>
      </c>
      <c r="H8" s="2650"/>
      <c r="I8" s="2651"/>
      <c r="K8" s="1057"/>
    </row>
    <row r="9" spans="1:13" ht="15" customHeight="1">
      <c r="A9" s="1046"/>
      <c r="B9" s="2670" t="s">
        <v>1975</v>
      </c>
      <c r="C9" s="2670"/>
      <c r="D9" s="2670"/>
      <c r="E9" s="1059">
        <f>G33</f>
        <v>7640000.0000000009</v>
      </c>
      <c r="G9" s="2662" t="s">
        <v>1973</v>
      </c>
      <c r="H9" s="2662"/>
      <c r="I9" s="1060">
        <f>SUMIF(Application!M554:M565,"Loan, Tax-Exempt",Application!AM554:AM565)</f>
        <v>80000000</v>
      </c>
      <c r="K9" s="1061"/>
      <c r="M9" s="1062"/>
    </row>
    <row r="10" spans="1:13" ht="15" customHeight="1" thickBot="1">
      <c r="A10" s="1046"/>
      <c r="B10" s="2670" t="s">
        <v>1976</v>
      </c>
      <c r="C10" s="2670"/>
      <c r="D10" s="2670"/>
      <c r="E10" s="1060">
        <f>G47</f>
        <v>34404984</v>
      </c>
      <c r="G10" s="2676" t="s">
        <v>1944</v>
      </c>
      <c r="H10" s="2676"/>
      <c r="I10" s="1140">
        <f>'Basis &amp; Credits'!AB78</f>
        <v>0</v>
      </c>
      <c r="M10" s="1062"/>
    </row>
    <row r="11" spans="1:13" ht="15" customHeight="1">
      <c r="A11" s="1046"/>
      <c r="B11" s="2663" t="s">
        <v>2265</v>
      </c>
      <c r="C11" s="2664"/>
      <c r="D11" s="2665"/>
      <c r="E11" s="1060">
        <f>SUM(E12,E13)</f>
        <v>1600000</v>
      </c>
      <c r="G11" s="2661" t="s">
        <v>1984</v>
      </c>
      <c r="H11" s="2661"/>
      <c r="I11" s="1139">
        <f>I9+I10</f>
        <v>80000000</v>
      </c>
      <c r="M11" s="1062"/>
    </row>
    <row r="12" spans="1:13" ht="15" customHeight="1">
      <c r="A12" s="1063"/>
      <c r="B12" s="2671" t="s">
        <v>2267</v>
      </c>
      <c r="C12" s="2671"/>
      <c r="D12" s="2671"/>
      <c r="E12" s="1165">
        <f>G56</f>
        <v>0</v>
      </c>
      <c r="M12" s="1062"/>
    </row>
    <row r="13" spans="1:13" ht="15" customHeight="1">
      <c r="A13" s="1049"/>
      <c r="B13" s="2671" t="s">
        <v>2268</v>
      </c>
      <c r="C13" s="2671"/>
      <c r="D13" s="2671"/>
      <c r="E13" s="1165">
        <f>G65</f>
        <v>1600000</v>
      </c>
      <c r="G13" s="2649" t="s">
        <v>2007</v>
      </c>
      <c r="H13" s="2650"/>
      <c r="I13" s="2651"/>
      <c r="M13" s="1062"/>
    </row>
    <row r="14" spans="1:13" ht="15" customHeight="1">
      <c r="A14" s="1049"/>
      <c r="B14" s="2663" t="s">
        <v>2266</v>
      </c>
      <c r="C14" s="2664"/>
      <c r="D14" s="2665"/>
      <c r="E14" s="1167">
        <f>MAX(E15,E16)+E17</f>
        <v>15432800.000000002</v>
      </c>
      <c r="G14" s="2662" t="s">
        <v>139</v>
      </c>
      <c r="H14" s="2662"/>
      <c r="I14" s="1064">
        <f>15%*(AND(G120="Yes",G122&lt;&gt;""))</f>
        <v>0</v>
      </c>
      <c r="M14" s="1062"/>
    </row>
    <row r="15" spans="1:13" ht="15" customHeight="1">
      <c r="A15" s="1049"/>
      <c r="B15" s="2646" t="s">
        <v>2272</v>
      </c>
      <c r="C15" s="2647"/>
      <c r="D15" s="2648"/>
      <c r="E15" s="1165">
        <f>G80</f>
        <v>0</v>
      </c>
      <c r="G15" s="1137" t="s">
        <v>1985</v>
      </c>
      <c r="H15" s="1137"/>
      <c r="I15" s="1064">
        <f>IF(Application!AJ1032&gt;0,10%,IF(Application!AJ1036&gt;0,5%,0))</f>
        <v>0.1</v>
      </c>
      <c r="M15" s="1062"/>
    </row>
    <row r="16" spans="1:13" ht="15" customHeight="1">
      <c r="A16" s="1049"/>
      <c r="B16" s="2646" t="s">
        <v>2271</v>
      </c>
      <c r="C16" s="2647"/>
      <c r="D16" s="2648"/>
      <c r="E16" s="1165">
        <f>G90</f>
        <v>3056000</v>
      </c>
      <c r="G16" s="2662" t="s">
        <v>1986</v>
      </c>
      <c r="H16" s="2662"/>
      <c r="I16" s="1064">
        <f>G132</f>
        <v>6.0866013071895424E-2</v>
      </c>
    </row>
    <row r="17" spans="1:21" ht="15" customHeight="1" thickBot="1">
      <c r="A17" s="1049"/>
      <c r="B17" s="2646" t="s">
        <v>2270</v>
      </c>
      <c r="C17" s="2647"/>
      <c r="D17" s="2648"/>
      <c r="E17" s="1165">
        <f>G115</f>
        <v>12376800.000000002</v>
      </c>
      <c r="G17" s="2662" t="s">
        <v>2280</v>
      </c>
      <c r="H17" s="2662"/>
      <c r="I17" s="1064">
        <f>IF(AND(G139="Yes",OR(G136,G137)),IF(G143&gt;15%,15%,G143),0)</f>
        <v>0.15</v>
      </c>
    </row>
    <row r="18" spans="1:21" ht="15" customHeight="1">
      <c r="A18" s="1046"/>
      <c r="B18" s="2675" t="s">
        <v>1940</v>
      </c>
      <c r="C18" s="2675"/>
      <c r="D18" s="2675"/>
      <c r="E18" s="1111">
        <f>SUM(E9:E11,E14)</f>
        <v>59077784</v>
      </c>
      <c r="G18" s="1138" t="s">
        <v>1974</v>
      </c>
      <c r="H18" s="1138"/>
      <c r="I18" s="1112">
        <f>I11-((I11*I14)+(I11*I15)+(I11*I16)+(I11*I17))</f>
        <v>55130718.954248369</v>
      </c>
      <c r="M18" s="1065">
        <f>SUM(Cdlac[Quantity])</f>
        <v>161</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v>468.75</v>
      </c>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1387.25</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7</v>
      </c>
      <c r="N21" s="1071">
        <f>Application!AC719</f>
        <v>0.3</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3" t="s">
        <v>1988</v>
      </c>
      <c r="D22" s="2653" t="s">
        <v>1989</v>
      </c>
      <c r="E22" s="2653" t="s">
        <v>1990</v>
      </c>
      <c r="F22" s="2653" t="s">
        <v>2611</v>
      </c>
      <c r="G22" s="2653" t="s">
        <v>1987</v>
      </c>
      <c r="H22" s="1070"/>
      <c r="I22" s="1069"/>
      <c r="L22" s="1044">
        <f>IFERROR(MIN(4,MATCH(Application!B720,UnitSizes,0)-1),"")</f>
        <v>0</v>
      </c>
      <c r="M22" s="1065">
        <f>Application!G720</f>
        <v>45</v>
      </c>
      <c r="N22" s="1071">
        <f>Application!AC720</f>
        <v>0.3</v>
      </c>
      <c r="O22" s="1071">
        <f>IF(Cdlac[[#This Row],[Quantity]]&gt;0,IF(Cdlac[[#This Row],[Federal]],30%,IF(AND(OR(NOT($G$38),$G$38=""),$G$43),40%,Cdlac[[#This Row],[iAMI]])),"")</f>
        <v>0.3</v>
      </c>
      <c r="P22" s="1065" cm="1">
        <f t="array" ref="P22">IF(Cdlac[[#This Row],[Quantity]]&gt;0,INDEX(TcacRents,$P$18,Cdlac[[#This Row],[Bedrooms]]+1)*Cdlac[[#This Row],[AMI]],"")</f>
        <v>795</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1061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4"/>
      <c r="D23" s="2654"/>
      <c r="E23" s="2654"/>
      <c r="F23" s="2654"/>
      <c r="G23" s="2654"/>
      <c r="H23" s="1070"/>
      <c r="I23" s="1069"/>
      <c r="L23" s="1044">
        <f>IFERROR(MIN(4,MATCH(Application!B721,UnitSizes,0)-1),"")</f>
        <v>0</v>
      </c>
      <c r="M23" s="1065">
        <f>Application!G721</f>
        <v>10</v>
      </c>
      <c r="N23" s="1071">
        <f>Application!AC721</f>
        <v>0.4</v>
      </c>
      <c r="O23" s="1071">
        <f>IF(Cdlac[[#This Row],[Quantity]]&gt;0,IF(Cdlac[[#This Row],[Federal]],30%,IF(AND(OR(NOT($G$38),$G$38=""),$G$43),40%,Cdlac[[#This Row],[iAMI]])),"")</f>
        <v>0.4</v>
      </c>
      <c r="P23" s="1065" cm="1">
        <f t="array" ref="P23">IF(Cdlac[[#This Row],[Quantity]]&gt;0,INDEX(TcacRents,$P$18,Cdlac[[#This Row],[Bedrooms]]+1)*Cdlac[[#This Row],[AMI]],"")</f>
        <v>1060</v>
      </c>
      <c r="Q23" s="1164">
        <v>471.4</v>
      </c>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1384.6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107</v>
      </c>
      <c r="F24" s="1072">
        <f>E24</f>
        <v>107</v>
      </c>
      <c r="G24" s="1072">
        <f>D24*F24</f>
        <v>96.3</v>
      </c>
      <c r="L24" s="1044">
        <f>IFERROR(MIN(4,MATCH(Application!B722,UnitSizes,0)-1),"")</f>
        <v>0</v>
      </c>
      <c r="M24" s="1065">
        <f>Application!G722</f>
        <v>15</v>
      </c>
      <c r="N24" s="1071">
        <f>Application!AC722</f>
        <v>0.5</v>
      </c>
      <c r="O24" s="1071">
        <f>IF(Cdlac[[#This Row],[Quantity]]&gt;0,IF(Cdlac[[#This Row],[Federal]],30%,IF(AND(OR(NOT($G$38),$G$38=""),$G$43),40%,Cdlac[[#This Row],[iAMI]])),"")</f>
        <v>0.3</v>
      </c>
      <c r="P24" s="1065" cm="1">
        <f t="array" ref="P24">IF(Cdlac[[#This Row],[Quantity]]&gt;0,INDEX(TcacRents,$P$18,Cdlac[[#This Row],[Bedrooms]]+1)*Cdlac[[#This Row],[AMI]],"")</f>
        <v>795</v>
      </c>
      <c r="Q24" s="1164"/>
      <c r="R24" s="1065" cm="1">
        <f t="array" ref="R24">IF(Cdlac[[#This Row],[Quantity]]&gt;0,INDEX(HudFmrs,$P$18,Cdlac[[#This Row],[Bedrooms]]+1),"")</f>
        <v>1856</v>
      </c>
      <c r="S24" s="1065">
        <f>IF(Cdlac[[#This Row],[Quantity]]&gt;0,MAX(0,Cdlac[[#This Row],[Fair Market Rent]]-IF(AND($G$37,$G$38,$G$38&lt;&gt;"",NOT(Cdlac[[#This Row],[Federal]]),Cdlac[[#This Row],[Preservation Rent]]&lt;&gt;""),Cdlac[[#This Row],[Preservation Rent]],Cdlac[[#This Row],[Restricted Rent]])),"")</f>
        <v>1061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44</v>
      </c>
      <c r="F25" s="1072">
        <f>E25</f>
        <v>44</v>
      </c>
      <c r="G25" s="1072">
        <f>D25*F25</f>
        <v>44</v>
      </c>
      <c r="L25" s="1044">
        <f>IFERROR(MIN(4,MATCH(Application!B723,UnitSizes,0)-1),"")</f>
        <v>0</v>
      </c>
      <c r="M25" s="1065">
        <f>Application!G723</f>
        <v>3</v>
      </c>
      <c r="N25" s="1071">
        <f>Application!AC723</f>
        <v>0.6</v>
      </c>
      <c r="O25" s="1071">
        <f>IF(Cdlac[[#This Row],[Quantity]]&gt;0,IF(Cdlac[[#This Row],[Federal]],30%,IF(AND(OR(NOT($G$38),$G$38=""),$G$43),40%,Cdlac[[#This Row],[iAMI]])),"")</f>
        <v>0.3</v>
      </c>
      <c r="P25" s="1065" cm="1">
        <f t="array" ref="P25">IF(Cdlac[[#This Row],[Quantity]]&gt;0,INDEX(TcacRents,$P$18,Cdlac[[#This Row],[Bedrooms]]+1)*Cdlac[[#This Row],[AMI]],"")</f>
        <v>795</v>
      </c>
      <c r="Q25" s="1164"/>
      <c r="R25" s="1065" cm="1">
        <f t="array" ref="R25">IF(Cdlac[[#This Row],[Quantity]]&gt;0,INDEX(HudFmrs,$P$18,Cdlac[[#This Row],[Bedrooms]]+1),"")</f>
        <v>1856</v>
      </c>
      <c r="S25" s="1065">
        <f>IF(Cdlac[[#This Row],[Quantity]]&gt;0,MAX(0,Cdlac[[#This Row],[Fair Market Rent]]-IF(AND($G$37,$G$38,$G$38&lt;&gt;"",NOT(Cdlac[[#This Row],[Federal]]),Cdlac[[#This Row],[Preservation Rent]]&lt;&gt;""),Cdlac[[#This Row],[Preservation Rent]],Cdlac[[#This Row],[Restricted Rent]])),"")</f>
        <v>1061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10</v>
      </c>
      <c r="F26" s="1075">
        <f>SUM(E26:E28)-SUM(F27:F28)</f>
        <v>10</v>
      </c>
      <c r="G26" s="1072">
        <f>D26*F26</f>
        <v>12.5</v>
      </c>
      <c r="H26" s="1074"/>
      <c r="I26" s="1074"/>
      <c r="L26" s="1044">
        <f>IFERROR(MIN(4,MATCH(Application!B724,UnitSizes,0)-1),"")</f>
        <v>0</v>
      </c>
      <c r="M26" s="1065">
        <f>Application!G724</f>
        <v>18</v>
      </c>
      <c r="N26" s="1071">
        <f>Application!AC724</f>
        <v>0.6</v>
      </c>
      <c r="O26" s="1071">
        <f>IF(Cdlac[[#This Row],[Quantity]]&gt;0,IF(Cdlac[[#This Row],[Federal]],30%,IF(AND(OR(NOT($G$38),$G$38=""),$G$43),40%,Cdlac[[#This Row],[iAMI]])),"")</f>
        <v>0.3</v>
      </c>
      <c r="P26" s="1065" cm="1">
        <f t="array" ref="P26">IF(Cdlac[[#This Row],[Quantity]]&gt;0,INDEX(TcacRents,$P$18,Cdlac[[#This Row],[Bedrooms]]+1)*Cdlac[[#This Row],[AMI]],"")</f>
        <v>795</v>
      </c>
      <c r="Q26" s="1164"/>
      <c r="R26" s="1065" cm="1">
        <f t="array" ref="R26">IF(Cdlac[[#This Row],[Quantity]]&gt;0,INDEX(HudFmrs,$P$18,Cdlac[[#This Row],[Bedrooms]]+1),"")</f>
        <v>1856</v>
      </c>
      <c r="S26" s="1065">
        <f>IF(Cdlac[[#This Row],[Quantity]]&gt;0,MAX(0,Cdlac[[#This Row],[Fair Market Rent]]-IF(AND($G$37,$G$38,$G$38&lt;&gt;"",NOT(Cdlac[[#This Row],[Federal]]),Cdlac[[#This Row],[Preservation Rent]]&lt;&gt;""),Cdlac[[#This Row],[Preservation Rent]],Cdlac[[#This Row],[Restricted Rent]])),"")</f>
        <v>1061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0</v>
      </c>
      <c r="M27" s="1065">
        <f>Application!G725</f>
        <v>4</v>
      </c>
      <c r="N27" s="1071">
        <f>Application!AC725</f>
        <v>0.8</v>
      </c>
      <c r="O27" s="1071">
        <f>IF(Cdlac[[#This Row],[Quantity]]&gt;0,IF(Cdlac[[#This Row],[Federal]],30%,IF(AND(OR(NOT($G$38),$G$38=""),$G$43),40%,Cdlac[[#This Row],[iAMI]])),"")</f>
        <v>0.8</v>
      </c>
      <c r="P27" s="1065" cm="1">
        <f t="array" ref="P27">IF(Cdlac[[#This Row],[Quantity]]&gt;0,INDEX(TcacRents,$P$18,Cdlac[[#This Row],[Bedrooms]]+1)*Cdlac[[#This Row],[AMI]],"")</f>
        <v>2120</v>
      </c>
      <c r="Q27" s="1164">
        <v>473.75</v>
      </c>
      <c r="R27" s="1065" cm="1">
        <f t="array" ref="R27">IF(Cdlac[[#This Row],[Quantity]]&gt;0,INDEX(HudFmrs,$P$18,Cdlac[[#This Row],[Bedrooms]]+1),"")</f>
        <v>1856</v>
      </c>
      <c r="S27" s="1065">
        <f>IF(Cdlac[[#This Row],[Quantity]]&gt;0,MAX(0,Cdlac[[#This Row],[Fair Market Rent]]-IF(AND($G$37,$G$38,$G$38&lt;&gt;"",NOT(Cdlac[[#This Row],[Federal]]),Cdlac[[#This Row],[Preservation Rent]]&lt;&gt;""),Cdlac[[#This Row],[Preservation Rent]],Cdlac[[#This Row],[Restricted Rent]])),"")</f>
        <v>1382.25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0</v>
      </c>
      <c r="M28" s="1065">
        <f>Application!G726</f>
        <v>1</v>
      </c>
      <c r="N28" s="1071">
        <f>Application!AC726</f>
        <v>0.8</v>
      </c>
      <c r="O28" s="1071">
        <f>IF(Cdlac[[#This Row],[Quantity]]&gt;0,IF(Cdlac[[#This Row],[Federal]],30%,IF(AND(OR(NOT($G$38),$G$38=""),$G$43),40%,Cdlac[[#This Row],[iAMI]])),"")</f>
        <v>0.3</v>
      </c>
      <c r="P28" s="1065" cm="1">
        <f t="array" ref="P28">IF(Cdlac[[#This Row],[Quantity]]&gt;0,INDEX(TcacRents,$P$18,Cdlac[[#This Row],[Bedrooms]]+1)*Cdlac[[#This Row],[AMI]],"")</f>
        <v>795</v>
      </c>
      <c r="Q28" s="1164">
        <v>1512</v>
      </c>
      <c r="R28" s="1065" cm="1">
        <f t="array" ref="R28">IF(Cdlac[[#This Row],[Quantity]]&gt;0,INDEX(HudFmrs,$P$18,Cdlac[[#This Row],[Bedrooms]]+1),"")</f>
        <v>1856</v>
      </c>
      <c r="S28" s="1065">
        <f>IF(Cdlac[[#This Row],[Quantity]]&gt;0,MAX(0,Cdlac[[#This Row],[Fair Market Rent]]-IF(AND($G$37,$G$38,$G$38&lt;&gt;"",NOT(Cdlac[[#This Row],[Federal]]),Cdlac[[#This Row],[Preservation Rent]]&lt;&gt;""),Cdlac[[#This Row],[Preservation Rent]],Cdlac[[#This Row],[Restricted Rent]])),"")</f>
        <v>1061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5" t="s">
        <v>1587</v>
      </c>
      <c r="D29" s="2656"/>
      <c r="E29" s="1089">
        <f>SUM(E24:E28)</f>
        <v>161</v>
      </c>
      <c r="F29" s="1089">
        <f>SUM(F24:F28)</f>
        <v>161</v>
      </c>
      <c r="G29" s="1090">
        <f>SUMPRODUCT(D24:D28,F24:F28)</f>
        <v>152.80000000000001</v>
      </c>
      <c r="H29" s="1074"/>
      <c r="I29" s="1074"/>
      <c r="L29" s="1044">
        <f>IFERROR(MIN(4,MATCH(Application!B727,UnitSizes,0)-1),"")</f>
        <v>1</v>
      </c>
      <c r="M29" s="1065">
        <f>Application!G727</f>
        <v>22</v>
      </c>
      <c r="N29" s="1071">
        <f>Application!AC727</f>
        <v>0.3</v>
      </c>
      <c r="O29" s="1071">
        <f>IF(Cdlac[[#This Row],[Quantity]]&gt;0,IF(Cdlac[[#This Row],[Federal]],30%,IF(AND(OR(NOT($G$38),$G$38=""),$G$43),40%,Cdlac[[#This Row],[iAMI]])),"")</f>
        <v>0.3</v>
      </c>
      <c r="P29" s="1065" cm="1">
        <f t="array" ref="P29">IF(Cdlac[[#This Row],[Quantity]]&gt;0,INDEX(TcacRents,$P$18,Cdlac[[#This Row],[Bedrooms]]+1)*Cdlac[[#This Row],[AMI]],"")</f>
        <v>852</v>
      </c>
      <c r="Q29" s="1164"/>
      <c r="R29" s="1065" cm="1">
        <f t="array" ref="R29">IF(Cdlac[[#This Row],[Quantity]]&gt;0,INDEX(HudFmrs,$P$18,Cdlac[[#This Row],[Bedrooms]]+1),"")</f>
        <v>2081</v>
      </c>
      <c r="S29" s="1065">
        <f>IF(Cdlac[[#This Row],[Quantity]]&gt;0,MAX(0,Cdlac[[#This Row],[Fair Market Rent]]-IF(AND($G$37,$G$38,$G$38&lt;&gt;"",NOT(Cdlac[[#This Row],[Federal]]),Cdlac[[#This Row],[Preservation Rent]]&lt;&gt;""),Cdlac[[#This Row],[Preservation Rent]],Cdlac[[#This Row],[Restricted Rent]])),"")</f>
        <v>1229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1</v>
      </c>
      <c r="M30" s="1065">
        <f>Application!G728</f>
        <v>1</v>
      </c>
      <c r="N30" s="1071">
        <f>Application!AC728</f>
        <v>0.5</v>
      </c>
      <c r="O30" s="1071">
        <f>IF(Cdlac[[#This Row],[Quantity]]&gt;0,IF(Cdlac[[#This Row],[Federal]],30%,IF(AND(OR(NOT($G$38),$G$38=""),$G$43),40%,Cdlac[[#This Row],[iAMI]])),"")</f>
        <v>0.5</v>
      </c>
      <c r="P30" s="1065" cm="1">
        <f t="array" ref="P30">IF(Cdlac[[#This Row],[Quantity]]&gt;0,INDEX(TcacRents,$P$18,Cdlac[[#This Row],[Bedrooms]]+1)*Cdlac[[#This Row],[AMI]],"")</f>
        <v>1420</v>
      </c>
      <c r="Q30" s="1164">
        <v>630</v>
      </c>
      <c r="R30" s="1065" cm="1">
        <f t="array" ref="R30">IF(Cdlac[[#This Row],[Quantity]]&gt;0,INDEX(HudFmrs,$P$18,Cdlac[[#This Row],[Bedrooms]]+1),"")</f>
        <v>2081</v>
      </c>
      <c r="S30" s="1065">
        <f>IF(Cdlac[[#This Row],[Quantity]]&gt;0,MAX(0,Cdlac[[#This Row],[Fair Market Rent]]-IF(AND($G$37,$G$38,$G$38&lt;&gt;"",NOT(Cdlac[[#This Row],[Federal]]),Cdlac[[#This Row],[Preservation Rent]]&lt;&gt;""),Cdlac[[#This Row],[Preservation Rent]],Cdlac[[#This Row],[Restricted Rent]])),"")</f>
        <v>1451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152.80000000000001</v>
      </c>
      <c r="H31" s="1074"/>
      <c r="I31" s="1074"/>
      <c r="L31" s="1044">
        <f>IFERROR(MIN(4,MATCH(Application!B729,UnitSizes,0)-1),"")</f>
        <v>1</v>
      </c>
      <c r="M31" s="1065">
        <f>Application!G729</f>
        <v>15</v>
      </c>
      <c r="N31" s="1071">
        <f>Application!AC729</f>
        <v>0.5</v>
      </c>
      <c r="O31" s="1071">
        <f>IF(Cdlac[[#This Row],[Quantity]]&gt;0,IF(Cdlac[[#This Row],[Federal]],30%,IF(AND(OR(NOT($G$38),$G$38=""),$G$43),40%,Cdlac[[#This Row],[iAMI]])),"")</f>
        <v>0.3</v>
      </c>
      <c r="P31" s="1065" cm="1">
        <f t="array" ref="P31">IF(Cdlac[[#This Row],[Quantity]]&gt;0,INDEX(TcacRents,$P$18,Cdlac[[#This Row],[Bedrooms]]+1)*Cdlac[[#This Row],[AMI]],"")</f>
        <v>852</v>
      </c>
      <c r="Q31" s="1164"/>
      <c r="R31" s="1065" cm="1">
        <f t="array" ref="R31">IF(Cdlac[[#This Row],[Quantity]]&gt;0,INDEX(HudFmrs,$P$18,Cdlac[[#This Row],[Bedrooms]]+1),"")</f>
        <v>2081</v>
      </c>
      <c r="S31" s="1065">
        <f>IF(Cdlac[[#This Row],[Quantity]]&gt;0,MAX(0,Cdlac[[#This Row],[Fair Market Rent]]-IF(AND($G$37,$G$38,$G$38&lt;&gt;"",NOT(Cdlac[[#This Row],[Federal]]),Cdlac[[#This Row],[Preservation Rent]]&lt;&gt;""),Cdlac[[#This Row],[Preservation Rent]],Cdlac[[#This Row],[Restricted Rent]])),"")</f>
        <v>1229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1946</v>
      </c>
      <c r="F32" s="1113" t="s">
        <v>1994</v>
      </c>
      <c r="G32" s="1115">
        <v>50000</v>
      </c>
      <c r="H32" s="1074"/>
      <c r="I32" s="1074"/>
      <c r="L32" s="1044">
        <f>IFERROR(MIN(4,MATCH(Application!B730,UnitSizes,0)-1),"")</f>
        <v>1</v>
      </c>
      <c r="M32" s="1065">
        <f>Application!G730</f>
        <v>3</v>
      </c>
      <c r="N32" s="1071">
        <f>Application!AC730</f>
        <v>0.6</v>
      </c>
      <c r="O32" s="1071">
        <f>IF(Cdlac[[#This Row],[Quantity]]&gt;0,IF(Cdlac[[#This Row],[Federal]],30%,IF(AND(OR(NOT($G$38),$G$38=""),$G$43),40%,Cdlac[[#This Row],[iAMI]])),"")</f>
        <v>0.6</v>
      </c>
      <c r="P32" s="1065" cm="1">
        <f t="array" ref="P32">IF(Cdlac[[#This Row],[Quantity]]&gt;0,INDEX(TcacRents,$P$18,Cdlac[[#This Row],[Bedrooms]]+1)*Cdlac[[#This Row],[AMI]],"")</f>
        <v>1704</v>
      </c>
      <c r="Q32" s="1164">
        <v>612</v>
      </c>
      <c r="R32" s="1065" cm="1">
        <f t="array" ref="R32">IF(Cdlac[[#This Row],[Quantity]]&gt;0,INDEX(HudFmrs,$P$18,Cdlac[[#This Row],[Bedrooms]]+1),"")</f>
        <v>2081</v>
      </c>
      <c r="S32" s="1065">
        <f>IF(Cdlac[[#This Row],[Quantity]]&gt;0,MAX(0,Cdlac[[#This Row],[Fair Market Rent]]-IF(AND($G$37,$G$38,$G$38&lt;&gt;"",NOT(Cdlac[[#This Row],[Federal]]),Cdlac[[#This Row],[Preservation Rent]]&lt;&gt;""),Cdlac[[#This Row],[Preservation Rent]],Cdlac[[#This Row],[Restricted Rent]])),"")</f>
        <v>1469</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7640000.0000000009</v>
      </c>
      <c r="H33" s="1074"/>
      <c r="I33" s="1074"/>
      <c r="L33" s="1044">
        <f>IFERROR(MIN(4,MATCH(Application!B731,UnitSizes,0)-1),"")</f>
        <v>1</v>
      </c>
      <c r="M33" s="1065">
        <f>Application!G731</f>
        <v>1</v>
      </c>
      <c r="N33" s="1071">
        <f>Application!AC731</f>
        <v>0.6</v>
      </c>
      <c r="O33" s="1071">
        <f>IF(Cdlac[[#This Row],[Quantity]]&gt;0,IF(Cdlac[[#This Row],[Federal]],30%,IF(AND(OR(NOT($G$38),$G$38=""),$G$43),40%,Cdlac[[#This Row],[iAMI]])),"")</f>
        <v>0.3</v>
      </c>
      <c r="P33" s="1065" cm="1">
        <f t="array" ref="P33">IF(Cdlac[[#This Row],[Quantity]]&gt;0,INDEX(TcacRents,$P$18,Cdlac[[#This Row],[Bedrooms]]+1)*Cdlac[[#This Row],[AMI]],"")</f>
        <v>852</v>
      </c>
      <c r="Q33" s="1164"/>
      <c r="R33" s="1065" cm="1">
        <f t="array" ref="R33">IF(Cdlac[[#This Row],[Quantity]]&gt;0,INDEX(HudFmrs,$P$18,Cdlac[[#This Row],[Bedrooms]]+1),"")</f>
        <v>2081</v>
      </c>
      <c r="S33" s="1065">
        <f>IF(Cdlac[[#This Row],[Quantity]]&gt;0,MAX(0,Cdlac[[#This Row],[Fair Market Rent]]-IF(AND($G$37,$G$38,$G$38&lt;&gt;"",NOT(Cdlac[[#This Row],[Federal]]),Cdlac[[#This Row],[Preservation Rent]]&lt;&gt;""),Cdlac[[#This Row],[Preservation Rent]],Cdlac[[#This Row],[Restricted Rent]])),"")</f>
        <v>1229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1</v>
      </c>
      <c r="M34" s="1065">
        <f>Application!G732</f>
        <v>2</v>
      </c>
      <c r="N34" s="1071">
        <f>Application!AC732</f>
        <v>0.8</v>
      </c>
      <c r="O34" s="1071">
        <f>IF(Cdlac[[#This Row],[Quantity]]&gt;0,IF(Cdlac[[#This Row],[Federal]],30%,IF(AND(OR(NOT($G$38),$G$38=""),$G$43),40%,Cdlac[[#This Row],[iAMI]])),"")</f>
        <v>0.8</v>
      </c>
      <c r="P34" s="1065" cm="1">
        <f t="array" ref="P34">IF(Cdlac[[#This Row],[Quantity]]&gt;0,INDEX(TcacRents,$P$18,Cdlac[[#This Row],[Bedrooms]]+1)*Cdlac[[#This Row],[AMI]],"")</f>
        <v>2272</v>
      </c>
      <c r="Q34" s="1164">
        <v>608.5</v>
      </c>
      <c r="R34" s="1065" cm="1">
        <f t="array" ref="R34">IF(Cdlac[[#This Row],[Quantity]]&gt;0,INDEX(HudFmrs,$P$18,Cdlac[[#This Row],[Bedrooms]]+1),"")</f>
        <v>2081</v>
      </c>
      <c r="S34" s="1065">
        <f>IF(Cdlac[[#This Row],[Quantity]]&gt;0,MAX(0,Cdlac[[#This Row],[Fair Market Rent]]-IF(AND($G$37,$G$38,$G$38&lt;&gt;"",NOT(Cdlac[[#This Row],[Federal]]),Cdlac[[#This Row],[Preservation Rent]]&lt;&gt;""),Cdlac[[#This Row],[Preservation Rent]],Cdlac[[#This Row],[Restricted Rent]])),"")</f>
        <v>1472.5</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2</v>
      </c>
      <c r="N35" s="1071">
        <f>Application!AC733</f>
        <v>0.3</v>
      </c>
      <c r="O35" s="1071">
        <f>IF(Cdlac[[#This Row],[Quantity]]&gt;0,IF(Cdlac[[#This Row],[Federal]],30%,IF(AND(OR(NOT($G$38),$G$38=""),$G$43),40%,Cdlac[[#This Row],[iAMI]])),"")</f>
        <v>0.3</v>
      </c>
      <c r="P35" s="1065" cm="1">
        <f t="array" ref="P35">IF(Cdlac[[#This Row],[Quantity]]&gt;0,INDEX(TcacRents,$P$18,Cdlac[[#This Row],[Bedrooms]]+1)*Cdlac[[#This Row],[AMI]],"")</f>
        <v>1021.8</v>
      </c>
      <c r="Q35" s="1164"/>
      <c r="R35" s="1065" cm="1">
        <f t="array" ref="R35">IF(Cdlac[[#This Row],[Quantity]]&gt;0,INDEX(HudFmrs,$P$18,Cdlac[[#This Row],[Bedrooms]]+1),"")</f>
        <v>2625</v>
      </c>
      <c r="S35" s="1065">
        <f>IF(Cdlac[[#This Row],[Quantity]]&gt;0,MAX(0,Cdlac[[#This Row],[Fair Market Rent]]-IF(AND($G$37,$G$38,$G$38&lt;&gt;"",NOT(Cdlac[[#This Row],[Federal]]),Cdlac[[#This Row],[Preservation Rent]]&lt;&gt;""),Cdlac[[#This Row],[Preservation Rent]],Cdlac[[#This Row],[Restricted Rent]])),"")</f>
        <v>1603.2</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1</v>
      </c>
      <c r="N36" s="1071">
        <f>Application!AC734</f>
        <v>0.5</v>
      </c>
      <c r="O36" s="1071">
        <f>IF(Cdlac[[#This Row],[Quantity]]&gt;0,IF(Cdlac[[#This Row],[Federal]],30%,IF(AND(OR(NOT($G$38),$G$38=""),$G$43),40%,Cdlac[[#This Row],[iAMI]])),"")</f>
        <v>0.5</v>
      </c>
      <c r="P36" s="1065" cm="1">
        <f t="array" ref="P36">IF(Cdlac[[#This Row],[Quantity]]&gt;0,INDEX(TcacRents,$P$18,Cdlac[[#This Row],[Bedrooms]]+1)*Cdlac[[#This Row],[AMI]],"")</f>
        <v>1703</v>
      </c>
      <c r="Q36" s="1164">
        <v>773</v>
      </c>
      <c r="R36" s="1065" cm="1">
        <f t="array" ref="R36">IF(Cdlac[[#This Row],[Quantity]]&gt;0,INDEX(HudFmrs,$P$18,Cdlac[[#This Row],[Bedrooms]]+1),"")</f>
        <v>2625</v>
      </c>
      <c r="S36" s="1065">
        <f>IF(Cdlac[[#This Row],[Quantity]]&gt;0,MAX(0,Cdlac[[#This Row],[Fair Market Rent]]-IF(AND($G$37,$G$38,$G$38&lt;&gt;"",NOT(Cdlac[[#This Row],[Federal]]),Cdlac[[#This Row],[Preservation Rent]]&lt;&gt;""),Cdlac[[#This Row],[Preservation Rent]],Cdlac[[#This Row],[Restricted Rent]])),"")</f>
        <v>1852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5</v>
      </c>
      <c r="N37" s="1071">
        <f>Application!AC735</f>
        <v>0.5</v>
      </c>
      <c r="O37" s="1071">
        <f>IF(Cdlac[[#This Row],[Quantity]]&gt;0,IF(Cdlac[[#This Row],[Federal]],30%,IF(AND(OR(NOT($G$38),$G$38=""),$G$43),40%,Cdlac[[#This Row],[iAMI]])),"")</f>
        <v>0.3</v>
      </c>
      <c r="P37" s="1065" cm="1">
        <f t="array" ref="P37">IF(Cdlac[[#This Row],[Quantity]]&gt;0,INDEX(TcacRents,$P$18,Cdlac[[#This Row],[Bedrooms]]+1)*Cdlac[[#This Row],[AMI]],"")</f>
        <v>1021.8</v>
      </c>
      <c r="Q37" s="1164"/>
      <c r="R37" s="1065" cm="1">
        <f t="array" ref="R37">IF(Cdlac[[#This Row],[Quantity]]&gt;0,INDEX(HudFmrs,$P$18,Cdlac[[#This Row],[Bedrooms]]+1),"")</f>
        <v>2625</v>
      </c>
      <c r="S37" s="1065">
        <f>IF(Cdlac[[#This Row],[Quantity]]&gt;0,MAX(0,Cdlac[[#This Row],[Fair Market Rent]]-IF(AND($G$37,$G$38,$G$38&lt;&gt;"",NOT(Cdlac[[#This Row],[Federal]]),Cdlac[[#This Row],[Preservation Rent]]&lt;&gt;""),Cdlac[[#This Row],[Preservation Rent]],Cdlac[[#This Row],[Restricted Rent]])),"")</f>
        <v>1603.2</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1</v>
      </c>
    </row>
    <row r="38" spans="1:21" ht="15" customHeight="1">
      <c r="E38" s="1084" t="s">
        <v>2262</v>
      </c>
      <c r="G38" s="1163" t="b">
        <v>1</v>
      </c>
      <c r="L38" s="1044">
        <f>IFERROR(MIN(4,MATCH(Application!B736,UnitSizes,0)-1),"")</f>
        <v>2</v>
      </c>
      <c r="M38" s="1065">
        <f>Application!G736</f>
        <v>2</v>
      </c>
      <c r="N38" s="1071">
        <f>Application!AC736</f>
        <v>0.6</v>
      </c>
      <c r="O38" s="1071">
        <f>IF(Cdlac[[#This Row],[Quantity]]&gt;0,IF(Cdlac[[#This Row],[Federal]],30%,IF(AND(OR(NOT($G$38),$G$38=""),$G$43),40%,Cdlac[[#This Row],[iAMI]])),"")</f>
        <v>0.3</v>
      </c>
      <c r="P38" s="1065" cm="1">
        <f t="array" ref="P38">IF(Cdlac[[#This Row],[Quantity]]&gt;0,INDEX(TcacRents,$P$18,Cdlac[[#This Row],[Bedrooms]]+1)*Cdlac[[#This Row],[AMI]],"")</f>
        <v>1021.8</v>
      </c>
      <c r="Q38" s="1164"/>
      <c r="R38" s="1065" cm="1">
        <f t="array" ref="R38">IF(Cdlac[[#This Row],[Quantity]]&gt;0,INDEX(HudFmrs,$P$18,Cdlac[[#This Row],[Bedrooms]]+1),"")</f>
        <v>2625</v>
      </c>
      <c r="S38" s="1065">
        <f>IF(Cdlac[[#This Row],[Quantity]]&gt;0,MAX(0,Cdlac[[#This Row],[Fair Market Rent]]-IF(AND($G$37,$G$38,$G$38&lt;&gt;"",NOT(Cdlac[[#This Row],[Federal]]),Cdlac[[#This Row],[Preservation Rent]]&lt;&gt;""),Cdlac[[#This Row],[Preservation Rent]],Cdlac[[#This Row],[Restricted Rent]])),"")</f>
        <v>1603.2</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1</v>
      </c>
    </row>
    <row r="39" spans="1:21" ht="15" customHeight="1">
      <c r="C39" s="2658"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0.51200000000000001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191138.8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34404984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80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80</v>
      </c>
    </row>
    <row r="61" spans="2:21" ht="15" customHeight="1">
      <c r="E61" s="1117" t="s">
        <v>1996</v>
      </c>
      <c r="G61" s="1079">
        <f>ROUNDDOWN(E29*50%,0)</f>
        <v>80</v>
      </c>
    </row>
    <row r="62" spans="2:21" ht="15" customHeight="1">
      <c r="E62" s="1117"/>
      <c r="G62" s="1079"/>
    </row>
    <row r="63" spans="2:21" ht="15" customHeight="1">
      <c r="E63" s="1117" t="s">
        <v>1956</v>
      </c>
      <c r="G63" s="1114">
        <f>MIN(G60:G61)</f>
        <v>80</v>
      </c>
    </row>
    <row r="64" spans="2:21" ht="15" customHeight="1">
      <c r="E64" s="1117" t="s">
        <v>1946</v>
      </c>
      <c r="F64" s="1113" t="s">
        <v>1994</v>
      </c>
      <c r="G64" s="1124">
        <v>20000</v>
      </c>
    </row>
    <row r="65" spans="2:14" ht="15" customHeight="1">
      <c r="E65" s="1118" t="s">
        <v>1978</v>
      </c>
      <c r="F65" s="1046"/>
      <c r="G65" s="1123">
        <f>G63*G64</f>
        <v>1600000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High Resource</v>
      </c>
      <c r="L72" s="2666" t="s">
        <v>1971</v>
      </c>
      <c r="M72" s="2667"/>
      <c r="N72" s="1131">
        <v>30000</v>
      </c>
    </row>
    <row r="73" spans="2:14" ht="15" customHeight="1">
      <c r="C73" s="2668" t="s">
        <v>2264</v>
      </c>
      <c r="D73" s="2668"/>
      <c r="E73" s="2668"/>
      <c r="F73" s="2668"/>
      <c r="G73" s="1043" t="s">
        <v>670</v>
      </c>
      <c r="L73" s="2677" t="s">
        <v>1939</v>
      </c>
      <c r="M73" s="2678"/>
      <c r="N73" s="1132">
        <v>20000</v>
      </c>
    </row>
    <row r="74" spans="2:14" ht="15" customHeight="1" thickBot="1">
      <c r="C74" s="2668"/>
      <c r="D74" s="2668"/>
      <c r="E74" s="2668"/>
      <c r="F74" s="2668"/>
      <c r="L74" s="2679" t="s">
        <v>1972</v>
      </c>
      <c r="M74" s="2680"/>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152.80000000000001</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152.80000000000001</v>
      </c>
    </row>
    <row r="89" spans="2:9" ht="15" customHeight="1">
      <c r="E89" s="1084" t="s">
        <v>1946</v>
      </c>
      <c r="F89" s="1113" t="s">
        <v>1994</v>
      </c>
      <c r="G89" s="1050">
        <v>20000</v>
      </c>
    </row>
    <row r="90" spans="2:9" ht="15" customHeight="1">
      <c r="E90" s="1118" t="s">
        <v>2273</v>
      </c>
      <c r="F90" s="1046"/>
      <c r="G90" s="1123">
        <f>G86*G89*G88</f>
        <v>3056000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152.80000000000001</v>
      </c>
    </row>
    <row r="97" spans="2:14" ht="15" customHeight="1">
      <c r="E97" s="1118" t="s">
        <v>1963</v>
      </c>
      <c r="F97" s="1046"/>
      <c r="G97" s="1123">
        <f>G94*G95*G96</f>
        <v>4278400</v>
      </c>
      <c r="L97" s="1127" t="str">
        <f>'Points System'!H638</f>
        <v>(i)</v>
      </c>
      <c r="M97" s="2685" t="s">
        <v>1406</v>
      </c>
      <c r="N97" s="2686"/>
    </row>
    <row r="98" spans="2:14" ht="15" customHeight="1">
      <c r="C98" s="1077"/>
      <c r="G98" s="1114"/>
      <c r="L98" s="1128" t="str">
        <f>'Points System'!H650</f>
        <v>(i)</v>
      </c>
      <c r="M98" s="2681" t="s">
        <v>1958</v>
      </c>
      <c r="N98" s="2682"/>
    </row>
    <row r="99" spans="2:14" ht="15" customHeight="1">
      <c r="E99" s="1084" t="s">
        <v>1999</v>
      </c>
      <c r="G99" s="1126">
        <f>COUNTIFS(L97:L104,"(i)")</f>
        <v>7</v>
      </c>
      <c r="L99" s="1128" t="str">
        <f>'Points System'!H685</f>
        <v>(i)</v>
      </c>
      <c r="M99" s="2681" t="s">
        <v>1959</v>
      </c>
      <c r="N99" s="2682"/>
    </row>
    <row r="100" spans="2:14" ht="15" customHeight="1">
      <c r="E100" s="1084" t="s">
        <v>1946</v>
      </c>
      <c r="F100" s="1113" t="s">
        <v>1994</v>
      </c>
      <c r="G100" s="1124">
        <v>4000</v>
      </c>
      <c r="L100" s="1128" t="str">
        <f>IF(OR('Points System'!H709="(ii)",'Points System'!H709="(i)"),"(i)","N/A")</f>
        <v>(i)</v>
      </c>
      <c r="M100" s="2681" t="s">
        <v>1960</v>
      </c>
      <c r="N100" s="2682"/>
    </row>
    <row r="101" spans="2:14" ht="15" customHeight="1">
      <c r="E101" s="1118" t="s">
        <v>1964</v>
      </c>
      <c r="F101" s="1046"/>
      <c r="G101" s="1123">
        <f>G96*G99*G100</f>
        <v>4278400.0000000009</v>
      </c>
      <c r="L101" s="1129" t="str">
        <f>'Points System'!H723</f>
        <v>(i)</v>
      </c>
      <c r="M101" s="2681" t="s">
        <v>1432</v>
      </c>
      <c r="N101" s="2682"/>
    </row>
    <row r="102" spans="2:14" ht="15" customHeight="1">
      <c r="L102" s="1128" t="str">
        <f>'Points System'!H735</f>
        <v>N/A</v>
      </c>
      <c r="M102" s="2681" t="s">
        <v>1961</v>
      </c>
      <c r="N102" s="2682"/>
    </row>
    <row r="103" spans="2:14" ht="15" customHeight="1">
      <c r="C103" s="1080" t="s">
        <v>1966</v>
      </c>
      <c r="L103" s="1128" t="str">
        <f>'Points System'!H751</f>
        <v>(i)</v>
      </c>
      <c r="M103" s="2681" t="s">
        <v>1962</v>
      </c>
      <c r="N103" s="2682"/>
    </row>
    <row r="104" spans="2:14" ht="15" customHeight="1" thickBot="1">
      <c r="C104" s="1077" t="s">
        <v>1967</v>
      </c>
      <c r="G104" s="1043"/>
      <c r="L104" s="1130" t="str">
        <f>'Points System'!H763</f>
        <v>(i)</v>
      </c>
      <c r="M104" s="2683" t="s">
        <v>1435</v>
      </c>
      <c r="N104" s="2684"/>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152.80000000000001</v>
      </c>
    </row>
    <row r="112" spans="2:14" ht="15" customHeight="1">
      <c r="E112" s="1084" t="s">
        <v>1946</v>
      </c>
      <c r="F112" s="1113" t="s">
        <v>1994</v>
      </c>
      <c r="G112" s="1124">
        <v>25000</v>
      </c>
    </row>
    <row r="113" spans="2:9" ht="15" customHeight="1">
      <c r="E113" s="1118" t="s">
        <v>1965</v>
      </c>
      <c r="F113" s="1046"/>
      <c r="G113" s="1123">
        <f>G109*G112*G96</f>
        <v>3820000.0000000005</v>
      </c>
    </row>
    <row r="114" spans="2:9" ht="15" customHeight="1">
      <c r="C114" s="1077"/>
      <c r="E114" s="1077"/>
    </row>
    <row r="115" spans="2:9" ht="15" customHeight="1">
      <c r="E115" s="1118" t="s">
        <v>2274</v>
      </c>
      <c r="G115" s="1123">
        <f>G113+G101+G97</f>
        <v>12376800.000000002</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2229</v>
      </c>
      <c r="D119" s="2657"/>
      <c r="E119" s="2657"/>
      <c r="F119" s="2657"/>
    </row>
    <row r="120" spans="2:9" ht="15" customHeight="1">
      <c r="C120" s="2657"/>
      <c r="D120" s="2657"/>
      <c r="E120" s="2657"/>
      <c r="F120" s="2657"/>
      <c r="G120" s="1043"/>
    </row>
    <row r="121" spans="2:9" ht="15" customHeight="1"/>
    <row r="122" spans="2:9" ht="15" customHeight="1">
      <c r="C122" s="1044" t="s">
        <v>2231</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1</v>
      </c>
    </row>
    <row r="137" spans="2:9">
      <c r="E137" s="1084" t="s">
        <v>2276</v>
      </c>
      <c r="G137" s="1044" t="b">
        <f>OR('Points System'!B52="Yes", 'Points System'!B56="Yes",'Points System'!B58="Yes")</f>
        <v>0</v>
      </c>
    </row>
    <row r="138" spans="2:9">
      <c r="C138" s="2652" t="s">
        <v>2277</v>
      </c>
      <c r="D138" s="2652"/>
      <c r="E138" s="2652"/>
      <c r="F138" s="2652"/>
    </row>
    <row r="139" spans="2:9">
      <c r="B139" s="1045"/>
      <c r="C139" s="2652"/>
      <c r="D139" s="2652"/>
      <c r="E139" s="2652"/>
      <c r="F139" s="2652"/>
      <c r="G139" s="1043" t="s">
        <v>546</v>
      </c>
    </row>
    <row r="140" spans="2:9">
      <c r="B140" s="1045"/>
      <c r="C140" s="1045"/>
      <c r="D140" s="1045"/>
      <c r="E140" s="1045"/>
      <c r="F140" s="1045"/>
    </row>
    <row r="141" spans="2:9" ht="14.25" customHeight="1">
      <c r="E141" s="1084" t="s">
        <v>2279</v>
      </c>
      <c r="G141" s="1169">
        <f>[1]Application!AF1023</f>
        <v>12827097</v>
      </c>
    </row>
    <row r="143" spans="2:9">
      <c r="E143" s="1084" t="s">
        <v>2281</v>
      </c>
      <c r="G143" s="1168">
        <f>IF(I9=0,0,G141/I9)</f>
        <v>0.16033871250000001</v>
      </c>
    </row>
    <row r="144" spans="2:9">
      <c r="E144" s="1084" t="s">
        <v>2278</v>
      </c>
      <c r="G144" s="1166">
        <f>I9*0.15</f>
        <v>12000000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10" sqref="L1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4</v>
      </c>
      <c r="C4" s="1162"/>
      <c r="D4" s="428">
        <f>Application!O718</f>
        <v>795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7</v>
      </c>
      <c r="C5" s="1162" t="s">
        <v>385</v>
      </c>
      <c r="D5" s="428">
        <f>Application!O719</f>
        <v>795</v>
      </c>
      <c r="E5" s="429"/>
      <c r="F5" s="1083">
        <v>3050</v>
      </c>
      <c r="G5" s="428">
        <f t="shared" ref="G5:G38" si="2">F5*B5</f>
        <v>21350</v>
      </c>
      <c r="H5" s="429"/>
      <c r="I5" s="428">
        <f t="shared" si="0"/>
        <v>2255</v>
      </c>
      <c r="J5" s="428">
        <f t="shared" si="1"/>
        <v>15785</v>
      </c>
      <c r="K5" s="204"/>
      <c r="L5" s="305"/>
    </row>
    <row r="6" spans="1:12">
      <c r="A6" s="428" t="str">
        <f>Application!B720</f>
        <v>SRO/Studio</v>
      </c>
      <c r="B6" s="1082">
        <f>Application!G720</f>
        <v>45</v>
      </c>
      <c r="C6" s="1162" t="s">
        <v>385</v>
      </c>
      <c r="D6" s="428">
        <f>Application!O720</f>
        <v>795</v>
      </c>
      <c r="E6" s="429"/>
      <c r="F6" s="1083">
        <v>2115</v>
      </c>
      <c r="G6" s="428">
        <f t="shared" si="2"/>
        <v>95175</v>
      </c>
      <c r="H6" s="429"/>
      <c r="I6" s="428">
        <f t="shared" si="0"/>
        <v>1320</v>
      </c>
      <c r="J6" s="428">
        <f t="shared" si="1"/>
        <v>59400</v>
      </c>
      <c r="K6" s="204"/>
      <c r="L6" s="305"/>
    </row>
    <row r="7" spans="1:12">
      <c r="A7" s="428" t="str">
        <f>Application!B721</f>
        <v>SRO/Studio</v>
      </c>
      <c r="B7" s="1082">
        <f>Application!G721</f>
        <v>10</v>
      </c>
      <c r="C7" s="1162"/>
      <c r="D7" s="428">
        <f>Application!O721</f>
        <v>1060</v>
      </c>
      <c r="E7" s="429"/>
      <c r="F7" s="1083"/>
      <c r="G7" s="428">
        <f t="shared" si="2"/>
        <v>0</v>
      </c>
      <c r="H7" s="429"/>
      <c r="I7" s="428" t="str">
        <f t="shared" si="0"/>
        <v/>
      </c>
      <c r="J7" s="428" t="str">
        <f t="shared" si="1"/>
        <v/>
      </c>
      <c r="K7" s="204"/>
      <c r="L7" s="305"/>
    </row>
    <row r="8" spans="1:12">
      <c r="A8" s="428" t="str">
        <f>Application!B722</f>
        <v>SRO/Studio</v>
      </c>
      <c r="B8" s="1082">
        <f>Application!G722</f>
        <v>15</v>
      </c>
      <c r="C8" s="1162" t="s">
        <v>385</v>
      </c>
      <c r="D8" s="428">
        <f>Application!O722</f>
        <v>1325</v>
      </c>
      <c r="E8" s="429"/>
      <c r="F8" s="1083">
        <v>2115</v>
      </c>
      <c r="G8" s="428">
        <f t="shared" si="2"/>
        <v>31725</v>
      </c>
      <c r="H8" s="429"/>
      <c r="I8" s="428">
        <f t="shared" si="0"/>
        <v>790</v>
      </c>
      <c r="J8" s="428">
        <f t="shared" si="1"/>
        <v>11850</v>
      </c>
      <c r="K8" s="204"/>
      <c r="L8" s="305"/>
    </row>
    <row r="9" spans="1:12">
      <c r="A9" s="428" t="str">
        <f>Application!B723</f>
        <v>SRO/Studio</v>
      </c>
      <c r="B9" s="1082">
        <f>Application!G723</f>
        <v>3</v>
      </c>
      <c r="C9" s="1162" t="s">
        <v>385</v>
      </c>
      <c r="D9" s="428">
        <f>Application!O723</f>
        <v>1590</v>
      </c>
      <c r="E9" s="429"/>
      <c r="F9" s="1083">
        <v>3050</v>
      </c>
      <c r="G9" s="428">
        <f t="shared" si="2"/>
        <v>9150</v>
      </c>
      <c r="H9" s="429"/>
      <c r="I9" s="428">
        <f t="shared" si="0"/>
        <v>1460</v>
      </c>
      <c r="J9" s="428">
        <f t="shared" si="1"/>
        <v>4380</v>
      </c>
      <c r="K9" s="204"/>
      <c r="L9" s="305"/>
    </row>
    <row r="10" spans="1:12">
      <c r="A10" s="428" t="str">
        <f>Application!B724</f>
        <v>SRO/Studio</v>
      </c>
      <c r="B10" s="1082">
        <f>Application!G724</f>
        <v>18</v>
      </c>
      <c r="C10" s="1162" t="s">
        <v>385</v>
      </c>
      <c r="D10" s="428">
        <f>Application!O724</f>
        <v>1590</v>
      </c>
      <c r="E10" s="429"/>
      <c r="F10" s="1083">
        <v>2115</v>
      </c>
      <c r="G10" s="428">
        <f t="shared" si="2"/>
        <v>38070</v>
      </c>
      <c r="H10" s="429"/>
      <c r="I10" s="428">
        <f t="shared" si="0"/>
        <v>525</v>
      </c>
      <c r="J10" s="428">
        <f t="shared" si="1"/>
        <v>9450</v>
      </c>
      <c r="K10" s="204"/>
      <c r="L10" s="305"/>
    </row>
    <row r="11" spans="1:12">
      <c r="A11" s="428" t="str">
        <f>Application!B725</f>
        <v>SRO/Studio</v>
      </c>
      <c r="B11" s="1082">
        <f>Application!G725</f>
        <v>4</v>
      </c>
      <c r="C11" s="1162"/>
      <c r="D11" s="428">
        <f>Application!O725</f>
        <v>2120</v>
      </c>
      <c r="E11" s="429"/>
      <c r="F11" s="1083"/>
      <c r="G11" s="428">
        <f t="shared" si="2"/>
        <v>0</v>
      </c>
      <c r="H11" s="429"/>
      <c r="I11" s="428" t="str">
        <f t="shared" si="0"/>
        <v/>
      </c>
      <c r="J11" s="428" t="str">
        <f t="shared" si="1"/>
        <v/>
      </c>
      <c r="K11" s="204"/>
      <c r="L11" s="305"/>
    </row>
    <row r="12" spans="1:12">
      <c r="A12" s="428" t="str">
        <f>Application!B726</f>
        <v>SRO/Studio</v>
      </c>
      <c r="B12" s="1082">
        <f>Application!G726</f>
        <v>1</v>
      </c>
      <c r="C12" s="1162" t="s">
        <v>385</v>
      </c>
      <c r="D12" s="428">
        <f>Application!O726</f>
        <v>2120</v>
      </c>
      <c r="E12" s="429"/>
      <c r="F12" s="1083">
        <v>2115</v>
      </c>
      <c r="G12" s="428">
        <f t="shared" si="2"/>
        <v>2115</v>
      </c>
      <c r="H12" s="429"/>
      <c r="I12" s="428">
        <f t="shared" si="0"/>
        <v>-5</v>
      </c>
      <c r="J12" s="428">
        <f t="shared" si="1"/>
        <v>-5</v>
      </c>
      <c r="K12" s="204"/>
      <c r="L12" s="305"/>
    </row>
    <row r="13" spans="1:12">
      <c r="A13" s="428" t="str">
        <f>Application!B727</f>
        <v>1 Bedroom</v>
      </c>
      <c r="B13" s="1082">
        <f>Application!G727</f>
        <v>22</v>
      </c>
      <c r="C13" s="1162" t="s">
        <v>385</v>
      </c>
      <c r="D13" s="428">
        <f>Application!O727</f>
        <v>852</v>
      </c>
      <c r="E13" s="429"/>
      <c r="F13" s="1083">
        <v>2361</v>
      </c>
      <c r="G13" s="428">
        <f t="shared" si="2"/>
        <v>51942</v>
      </c>
      <c r="H13" s="429"/>
      <c r="I13" s="428">
        <f t="shared" si="0"/>
        <v>1509</v>
      </c>
      <c r="J13" s="428">
        <f t="shared" si="1"/>
        <v>33198</v>
      </c>
      <c r="K13" s="204"/>
      <c r="L13" s="305"/>
    </row>
    <row r="14" spans="1:12">
      <c r="A14" s="428" t="str">
        <f>Application!B728</f>
        <v>1 Bedroom</v>
      </c>
      <c r="B14" s="1082">
        <f>Application!G728</f>
        <v>1</v>
      </c>
      <c r="C14" s="1162"/>
      <c r="D14" s="428">
        <f>Application!O728</f>
        <v>1420</v>
      </c>
      <c r="E14" s="429"/>
      <c r="F14" s="1083"/>
      <c r="G14" s="428">
        <f t="shared" si="2"/>
        <v>0</v>
      </c>
      <c r="H14" s="429"/>
      <c r="I14" s="428" t="str">
        <f t="shared" si="0"/>
        <v/>
      </c>
      <c r="J14" s="428" t="str">
        <f t="shared" si="1"/>
        <v/>
      </c>
      <c r="K14" s="204"/>
      <c r="L14" s="305"/>
    </row>
    <row r="15" spans="1:12">
      <c r="A15" s="428" t="str">
        <f>Application!B729</f>
        <v>1 Bedroom</v>
      </c>
      <c r="B15" s="1082">
        <f>Application!G729</f>
        <v>15</v>
      </c>
      <c r="C15" s="1162" t="s">
        <v>385</v>
      </c>
      <c r="D15" s="428">
        <f>Application!O729</f>
        <v>1420</v>
      </c>
      <c r="E15" s="429"/>
      <c r="F15" s="1083">
        <v>2361</v>
      </c>
      <c r="G15" s="428">
        <f t="shared" si="2"/>
        <v>35415</v>
      </c>
      <c r="H15" s="429"/>
      <c r="I15" s="428">
        <f t="shared" si="0"/>
        <v>941</v>
      </c>
      <c r="J15" s="428">
        <f t="shared" si="1"/>
        <v>14115</v>
      </c>
      <c r="K15" s="204"/>
      <c r="L15" s="305"/>
    </row>
    <row r="16" spans="1:12">
      <c r="A16" s="428" t="str">
        <f>Application!B730</f>
        <v>1 Bedroom</v>
      </c>
      <c r="B16" s="1082">
        <f>Application!G730</f>
        <v>3</v>
      </c>
      <c r="C16" s="1162"/>
      <c r="D16" s="428">
        <f>Application!O730</f>
        <v>1704</v>
      </c>
      <c r="E16" s="429"/>
      <c r="F16" s="1083"/>
      <c r="G16" s="428">
        <f t="shared" si="2"/>
        <v>0</v>
      </c>
      <c r="H16" s="429"/>
      <c r="I16" s="428" t="str">
        <f t="shared" si="0"/>
        <v/>
      </c>
      <c r="J16" s="428" t="str">
        <f t="shared" si="1"/>
        <v/>
      </c>
      <c r="K16" s="204"/>
      <c r="L16" s="305"/>
    </row>
    <row r="17" spans="1:12">
      <c r="A17" s="428" t="str">
        <f>Application!B731</f>
        <v>1 Bedroom</v>
      </c>
      <c r="B17" s="1082">
        <f>Application!G731</f>
        <v>1</v>
      </c>
      <c r="C17" s="1162" t="s">
        <v>385</v>
      </c>
      <c r="D17" s="428">
        <f>Application!O731</f>
        <v>1704</v>
      </c>
      <c r="E17" s="429"/>
      <c r="F17" s="1083">
        <v>2361</v>
      </c>
      <c r="G17" s="428">
        <f t="shared" si="2"/>
        <v>2361</v>
      </c>
      <c r="H17" s="429"/>
      <c r="I17" s="428">
        <f t="shared" si="0"/>
        <v>657</v>
      </c>
      <c r="J17" s="428">
        <f t="shared" si="1"/>
        <v>657</v>
      </c>
      <c r="K17" s="204"/>
      <c r="L17" s="305"/>
    </row>
    <row r="18" spans="1:12">
      <c r="A18" s="428" t="str">
        <f>Application!B732</f>
        <v>1 Bedroom</v>
      </c>
      <c r="B18" s="1082">
        <f>Application!G732</f>
        <v>2</v>
      </c>
      <c r="C18" s="1162"/>
      <c r="D18" s="428">
        <f>Application!O732</f>
        <v>2272</v>
      </c>
      <c r="E18" s="429"/>
      <c r="F18" s="1083"/>
      <c r="G18" s="428">
        <f t="shared" si="2"/>
        <v>0</v>
      </c>
      <c r="H18" s="429"/>
      <c r="I18" s="428" t="str">
        <f t="shared" si="0"/>
        <v/>
      </c>
      <c r="J18" s="428" t="str">
        <f t="shared" si="1"/>
        <v/>
      </c>
      <c r="K18" s="204"/>
      <c r="L18" s="305"/>
    </row>
    <row r="19" spans="1:12">
      <c r="A19" s="428" t="str">
        <f>Application!B733</f>
        <v>2 Bedrooms</v>
      </c>
      <c r="B19" s="1082">
        <f>Application!G733</f>
        <v>2</v>
      </c>
      <c r="C19" s="1162" t="s">
        <v>385</v>
      </c>
      <c r="D19" s="428">
        <f>Application!O733</f>
        <v>1022</v>
      </c>
      <c r="E19" s="429"/>
      <c r="F19" s="1083">
        <v>2985</v>
      </c>
      <c r="G19" s="428">
        <f t="shared" si="2"/>
        <v>5970</v>
      </c>
      <c r="H19" s="429"/>
      <c r="I19" s="428">
        <f t="shared" si="0"/>
        <v>1963</v>
      </c>
      <c r="J19" s="428">
        <f t="shared" si="1"/>
        <v>3926</v>
      </c>
      <c r="K19" s="204"/>
      <c r="L19" s="305"/>
    </row>
    <row r="20" spans="1:12">
      <c r="A20" s="428" t="str">
        <f>Application!B734</f>
        <v>2 Bedrooms</v>
      </c>
      <c r="B20" s="1082">
        <f>Application!G734</f>
        <v>1</v>
      </c>
      <c r="C20" s="1162"/>
      <c r="D20" s="428">
        <f>Application!O734</f>
        <v>1703</v>
      </c>
      <c r="E20" s="429"/>
      <c r="F20" s="1083"/>
      <c r="G20" s="428">
        <f t="shared" si="2"/>
        <v>0</v>
      </c>
      <c r="H20" s="429"/>
      <c r="I20" s="428" t="str">
        <f t="shared" si="0"/>
        <v/>
      </c>
      <c r="J20" s="428" t="str">
        <f t="shared" si="1"/>
        <v/>
      </c>
      <c r="K20" s="204"/>
      <c r="L20" s="305"/>
    </row>
    <row r="21" spans="1:12">
      <c r="A21" s="428" t="str">
        <f>Application!B735</f>
        <v>2 Bedrooms</v>
      </c>
      <c r="B21" s="1082">
        <f>Application!G735</f>
        <v>5</v>
      </c>
      <c r="C21" s="1162" t="s">
        <v>385</v>
      </c>
      <c r="D21" s="428">
        <f>Application!O735</f>
        <v>1703</v>
      </c>
      <c r="E21" s="429"/>
      <c r="F21" s="1083">
        <v>2985</v>
      </c>
      <c r="G21" s="428">
        <f t="shared" si="2"/>
        <v>14925</v>
      </c>
      <c r="H21" s="429"/>
      <c r="I21" s="428">
        <f t="shared" si="0"/>
        <v>1282</v>
      </c>
      <c r="J21" s="428">
        <f t="shared" si="1"/>
        <v>6410</v>
      </c>
      <c r="K21" s="204"/>
      <c r="L21" s="305"/>
    </row>
    <row r="22" spans="1:12">
      <c r="A22" s="428" t="str">
        <f>Application!B736</f>
        <v>2 Bedrooms</v>
      </c>
      <c r="B22" s="1082">
        <f>Application!G736</f>
        <v>2</v>
      </c>
      <c r="C22" s="1162" t="s">
        <v>385</v>
      </c>
      <c r="D22" s="428">
        <f>Application!O736</f>
        <v>2044</v>
      </c>
      <c r="E22" s="429"/>
      <c r="F22" s="1083">
        <v>2985</v>
      </c>
      <c r="G22" s="428">
        <f t="shared" si="2"/>
        <v>5970</v>
      </c>
      <c r="H22" s="429"/>
      <c r="I22" s="428">
        <f t="shared" si="0"/>
        <v>941</v>
      </c>
      <c r="J22" s="428">
        <f t="shared" si="1"/>
        <v>1882</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188159</v>
      </c>
      <c r="E40" s="429"/>
      <c r="F40" s="429"/>
      <c r="G40" s="432">
        <f>SUM(G4:G38)*12</f>
        <v>3770016</v>
      </c>
      <c r="H40" s="433"/>
      <c r="I40" s="431"/>
      <c r="J40" s="432">
        <f>SUM(J4:J38)*12</f>
        <v>1932576</v>
      </c>
      <c r="K40" s="204"/>
      <c r="L40" s="306"/>
    </row>
    <row r="41" spans="1:12" ht="15">
      <c r="A41" s="430"/>
      <c r="B41" s="431"/>
      <c r="C41" s="431"/>
      <c r="D41" s="433"/>
      <c r="E41" s="429"/>
      <c r="F41" s="429"/>
      <c r="G41" s="433"/>
      <c r="H41" s="433"/>
      <c r="I41" s="431"/>
      <c r="J41" s="433"/>
      <c r="K41" s="204"/>
      <c r="L41" s="306"/>
    </row>
    <row r="42" spans="1:12">
      <c r="A42" s="304" t="s">
        <v>2259</v>
      </c>
    </row>
    <row r="43" spans="1:12">
      <c r="A43" s="2688" t="s">
        <v>2498</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2260</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workbookViewId="0">
      <selection activeCell="A72" sqref="A7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v>
      </c>
      <c r="E4" s="219">
        <f>Application!Y801</f>
        <v>2257908</v>
      </c>
      <c r="G4" s="219">
        <f>E4*$C$4</f>
        <v>2303066.16</v>
      </c>
      <c r="I4" s="219">
        <f>G4*$C$4</f>
        <v>2349127.4832000001</v>
      </c>
      <c r="K4" s="219">
        <f>I4*$C$4</f>
        <v>2396110.0328640002</v>
      </c>
      <c r="M4" s="219">
        <f>K4*$C$4</f>
        <v>2444032.2335212803</v>
      </c>
      <c r="O4" s="219">
        <f>M4*$C$4</f>
        <v>2492912.8781917058</v>
      </c>
      <c r="Q4" s="219">
        <f>O4*$C$4</f>
        <v>2542771.1357555399</v>
      </c>
      <c r="S4" s="219">
        <f>Q4*$C$4</f>
        <v>2593626.5584706506</v>
      </c>
      <c r="U4" s="219">
        <f>S4*$C$4</f>
        <v>2645499.0896400637</v>
      </c>
      <c r="W4" s="219">
        <f>U4*$C$4</f>
        <v>2698409.0714328652</v>
      </c>
      <c r="Y4" s="219">
        <f>W4*$C$4</f>
        <v>2752377.2528615226</v>
      </c>
      <c r="AA4" s="219">
        <f>Y4*$C$4</f>
        <v>2807424.7979187532</v>
      </c>
      <c r="AC4" s="219">
        <f>AA4*$C$4</f>
        <v>2863573.2938771285</v>
      </c>
      <c r="AE4" s="219">
        <f>AC4*$C$4</f>
        <v>2920844.7597546712</v>
      </c>
      <c r="AG4" s="219">
        <f>AE4*$C$4</f>
        <v>2979261.6549497647</v>
      </c>
    </row>
    <row r="5" spans="1:34" s="210" customFormat="1" ht="14.25">
      <c r="B5" s="210" t="s">
        <v>839</v>
      </c>
      <c r="C5" s="238">
        <f>IF(Application!$D$211="Special Needs",(((0.1*Application!$T$212)+(0.05*(1-Application!$T$212)))),0.05)</f>
        <v>0.05</v>
      </c>
      <c r="E5" s="221">
        <f>-E4*$C$5</f>
        <v>-112895.40000000001</v>
      </c>
      <c r="F5" s="221"/>
      <c r="G5" s="221">
        <f>-G4*$C$5</f>
        <v>-115153.30800000002</v>
      </c>
      <c r="H5" s="221"/>
      <c r="I5" s="221">
        <f>-I4*$C$5</f>
        <v>-117456.37416000001</v>
      </c>
      <c r="J5" s="221"/>
      <c r="K5" s="221">
        <f>-K4*$C$5</f>
        <v>-119805.50164320001</v>
      </c>
      <c r="L5" s="221"/>
      <c r="M5" s="221">
        <f>-M4*$C$5</f>
        <v>-122201.61167606403</v>
      </c>
      <c r="N5" s="221"/>
      <c r="O5" s="221">
        <f>-O4*$C$5</f>
        <v>-124645.6439095853</v>
      </c>
      <c r="P5" s="221"/>
      <c r="Q5" s="221">
        <f>-Q4*$C$5</f>
        <v>-127138.55678777699</v>
      </c>
      <c r="R5" s="221"/>
      <c r="S5" s="221">
        <f>-S4*$C$5</f>
        <v>-129681.32792353253</v>
      </c>
      <c r="T5" s="221"/>
      <c r="U5" s="221">
        <f>-U4*$C$5</f>
        <v>-132274.9544820032</v>
      </c>
      <c r="V5" s="221"/>
      <c r="W5" s="221">
        <f>-W4*$C$5</f>
        <v>-134920.45357164327</v>
      </c>
      <c r="X5" s="221"/>
      <c r="Y5" s="221">
        <f>-Y4*$C$5</f>
        <v>-137618.86264307614</v>
      </c>
      <c r="Z5" s="221"/>
      <c r="AA5" s="221">
        <f>-AA4*$C$5</f>
        <v>-140371.23989593767</v>
      </c>
      <c r="AB5" s="221"/>
      <c r="AC5" s="221">
        <f>-AC4*$C$5</f>
        <v>-143178.66469385644</v>
      </c>
      <c r="AD5" s="221"/>
      <c r="AE5" s="221">
        <f>-AE4*$C$5</f>
        <v>-146042.23798773356</v>
      </c>
      <c r="AF5" s="221"/>
      <c r="AG5" s="221">
        <f>-AG4*$C$5</f>
        <v>-148963.08274748825</v>
      </c>
    </row>
    <row r="6" spans="1:34" s="210" customFormat="1" ht="14.25">
      <c r="A6" s="210" t="s">
        <v>837</v>
      </c>
      <c r="C6" s="237">
        <v>1.02</v>
      </c>
      <c r="E6" s="222">
        <f>Application!Z809</f>
        <v>1932576</v>
      </c>
      <c r="F6" s="222"/>
      <c r="G6" s="222">
        <f>E6*$C$6</f>
        <v>1971227.52</v>
      </c>
      <c r="H6" s="222"/>
      <c r="I6" s="222">
        <f>G6*$C$6</f>
        <v>2010652.0704000001</v>
      </c>
      <c r="J6" s="222"/>
      <c r="K6" s="222">
        <f>I6*$C$6</f>
        <v>2050865.1118080001</v>
      </c>
      <c r="L6" s="222"/>
      <c r="M6" s="222">
        <f>K6*$C$6</f>
        <v>2091882.4140441602</v>
      </c>
      <c r="N6" s="222"/>
      <c r="O6" s="222">
        <f>M6*$C$6</f>
        <v>2133720.0623250436</v>
      </c>
      <c r="P6" s="222"/>
      <c r="Q6" s="222">
        <f>O6*$C$6</f>
        <v>2176394.4635715447</v>
      </c>
      <c r="R6" s="222"/>
      <c r="S6" s="222">
        <f>Q6*$C$6</f>
        <v>2219922.3528429759</v>
      </c>
      <c r="T6" s="222"/>
      <c r="U6" s="222">
        <f>S6*$C$6</f>
        <v>2264320.7998998356</v>
      </c>
      <c r="V6" s="222"/>
      <c r="W6" s="222">
        <f>U6*$C$6</f>
        <v>2309607.2158978325</v>
      </c>
      <c r="X6" s="222"/>
      <c r="Y6" s="222">
        <f>W6*$C$6</f>
        <v>2355799.3602157892</v>
      </c>
      <c r="Z6" s="222"/>
      <c r="AA6" s="222">
        <f>Y6*$C$6</f>
        <v>2402915.3474201048</v>
      </c>
      <c r="AB6" s="222"/>
      <c r="AC6" s="222">
        <f>AA6*$C$6</f>
        <v>2450973.6543685067</v>
      </c>
      <c r="AD6" s="222"/>
      <c r="AE6" s="222">
        <f>AC6*$C$6</f>
        <v>2499993.1274558771</v>
      </c>
      <c r="AF6" s="222"/>
      <c r="AG6" s="222">
        <f>AE6*$C$6</f>
        <v>2549992.9900049949</v>
      </c>
    </row>
    <row r="7" spans="1:34" s="210" customFormat="1" ht="14.25">
      <c r="B7" s="210" t="s">
        <v>839</v>
      </c>
      <c r="C7" s="238">
        <f>IF(Application!$D$211="Special Needs",(((0.1*Application!$T$212)+(0.05*(1-Application!$T$212)))),0.05)</f>
        <v>0.05</v>
      </c>
      <c r="E7" s="221">
        <f>-E6*$C$7</f>
        <v>-96628.800000000003</v>
      </c>
      <c r="F7" s="221"/>
      <c r="G7" s="221">
        <f>-G6*$C$7</f>
        <v>-98561.376000000004</v>
      </c>
      <c r="H7" s="221"/>
      <c r="I7" s="221">
        <f>-I6*$C$7</f>
        <v>-100532.60352</v>
      </c>
      <c r="J7" s="221"/>
      <c r="K7" s="221">
        <f>-K6*$C$7</f>
        <v>-102543.25559040002</v>
      </c>
      <c r="L7" s="221"/>
      <c r="M7" s="221">
        <f>-M6*$C$7</f>
        <v>-104594.12070220802</v>
      </c>
      <c r="N7" s="221"/>
      <c r="O7" s="221">
        <f>-O6*$C$7</f>
        <v>-106686.00311625219</v>
      </c>
      <c r="P7" s="221"/>
      <c r="Q7" s="221">
        <f>-Q6*$C$7</f>
        <v>-108819.72317857725</v>
      </c>
      <c r="R7" s="221"/>
      <c r="S7" s="221">
        <f>-S6*$C$7</f>
        <v>-110996.11764214881</v>
      </c>
      <c r="T7" s="221"/>
      <c r="U7" s="221">
        <f>-U6*$C$7</f>
        <v>-113216.03999499179</v>
      </c>
      <c r="V7" s="221"/>
      <c r="W7" s="221">
        <f>-W6*$C$7</f>
        <v>-115480.36079489163</v>
      </c>
      <c r="X7" s="221"/>
      <c r="Y7" s="221">
        <f>-Y6*$C$7</f>
        <v>-117789.96801078947</v>
      </c>
      <c r="Z7" s="221"/>
      <c r="AA7" s="221">
        <f>-AA6*$C$7</f>
        <v>-120145.76737100525</v>
      </c>
      <c r="AB7" s="221"/>
      <c r="AC7" s="221">
        <f>-AC6*$C$7</f>
        <v>-122548.68271842535</v>
      </c>
      <c r="AD7" s="221"/>
      <c r="AE7" s="221">
        <f>-AE6*$C$7</f>
        <v>-124999.65637279386</v>
      </c>
      <c r="AF7" s="221"/>
      <c r="AG7" s="221">
        <f>-AG6*$C$7</f>
        <v>-127499.64950024975</v>
      </c>
    </row>
    <row r="8" spans="1:34" s="210" customFormat="1" ht="14.25">
      <c r="A8" s="210" t="s">
        <v>288</v>
      </c>
      <c r="C8" s="237">
        <v>1.02</v>
      </c>
      <c r="E8" s="222">
        <f>Application!Z817</f>
        <v>13692</v>
      </c>
      <c r="F8" s="222"/>
      <c r="G8" s="222">
        <f>E8*$C$8</f>
        <v>13965.84</v>
      </c>
      <c r="H8" s="222"/>
      <c r="I8" s="222">
        <f>G8*$C$8</f>
        <v>14245.156800000001</v>
      </c>
      <c r="J8" s="222"/>
      <c r="K8" s="222">
        <f>I8*$C$8</f>
        <v>14530.059936000001</v>
      </c>
      <c r="L8" s="222"/>
      <c r="M8" s="222">
        <f>K8*$C$8</f>
        <v>14820.661134720001</v>
      </c>
      <c r="N8" s="222"/>
      <c r="O8" s="222">
        <f>M8*$C$8</f>
        <v>15117.074357414402</v>
      </c>
      <c r="P8" s="222"/>
      <c r="Q8" s="222">
        <f>O8*$C$8</f>
        <v>15419.415844562691</v>
      </c>
      <c r="R8" s="222"/>
      <c r="S8" s="222">
        <f>Q8*$C$8</f>
        <v>15727.804161453945</v>
      </c>
      <c r="T8" s="222"/>
      <c r="U8" s="222">
        <f>S8*$C$8</f>
        <v>16042.360244683025</v>
      </c>
      <c r="V8" s="222"/>
      <c r="W8" s="222">
        <f>U8*$C$8</f>
        <v>16363.207449576685</v>
      </c>
      <c r="X8" s="222"/>
      <c r="Y8" s="222">
        <f>W8*$C$8</f>
        <v>16690.47159856822</v>
      </c>
      <c r="Z8" s="222"/>
      <c r="AA8" s="222">
        <f>Y8*$C$8</f>
        <v>17024.281030539583</v>
      </c>
      <c r="AB8" s="222"/>
      <c r="AC8" s="222">
        <f>AA8*$C$8</f>
        <v>17364.766651150374</v>
      </c>
      <c r="AD8" s="222"/>
      <c r="AE8" s="222">
        <f>AC8*$C$8</f>
        <v>17712.061984173382</v>
      </c>
      <c r="AF8" s="222"/>
      <c r="AG8" s="222">
        <f>AE8*$C$8</f>
        <v>18066.303223856852</v>
      </c>
    </row>
    <row r="9" spans="1:34" s="210" customFormat="1" ht="14.25">
      <c r="B9" s="210" t="s">
        <v>839</v>
      </c>
      <c r="C9" s="238">
        <f>IF(Application!$D$211="Special Needs",(((0.1*Application!$T$212)+(0.05*(1-Application!$T$212)))),0.05)</f>
        <v>0.05</v>
      </c>
      <c r="E9" s="221">
        <f>-E8*$C$9</f>
        <v>-684.6</v>
      </c>
      <c r="F9" s="221"/>
      <c r="G9" s="221">
        <f>-G8*$C$9</f>
        <v>-698.29200000000003</v>
      </c>
      <c r="H9" s="221"/>
      <c r="I9" s="221">
        <f>-I8*$C$9</f>
        <v>-712.2578400000001</v>
      </c>
      <c r="J9" s="221"/>
      <c r="K9" s="221">
        <f>-K8*$C$9</f>
        <v>-726.50299680000012</v>
      </c>
      <c r="L9" s="221"/>
      <c r="M9" s="221">
        <f>-M8*$C$9</f>
        <v>-741.03305673600016</v>
      </c>
      <c r="N9" s="221"/>
      <c r="O9" s="221">
        <f>-O8*$C$9</f>
        <v>-755.85371787072017</v>
      </c>
      <c r="P9" s="221"/>
      <c r="Q9" s="221">
        <f>-Q8*$C$9</f>
        <v>-770.97079222813454</v>
      </c>
      <c r="R9" s="221"/>
      <c r="S9" s="221">
        <f>-S8*$C$9</f>
        <v>-786.39020807269731</v>
      </c>
      <c r="T9" s="221"/>
      <c r="U9" s="221">
        <f>-U8*$C$9</f>
        <v>-802.11801223415125</v>
      </c>
      <c r="V9" s="221"/>
      <c r="W9" s="221">
        <f>-W8*$C$9</f>
        <v>-818.16037247883423</v>
      </c>
      <c r="X9" s="221"/>
      <c r="Y9" s="221">
        <f>-Y8*$C$9</f>
        <v>-834.52357992841098</v>
      </c>
      <c r="Z9" s="221"/>
      <c r="AA9" s="221">
        <f>-AA8*$C$9</f>
        <v>-851.21405152697923</v>
      </c>
      <c r="AB9" s="221"/>
      <c r="AC9" s="221">
        <f>-AC8*$C$9</f>
        <v>-868.23833255751879</v>
      </c>
      <c r="AD9" s="221"/>
      <c r="AE9" s="221">
        <f>-AE8*$C$9</f>
        <v>-885.60309920866916</v>
      </c>
      <c r="AF9" s="221"/>
      <c r="AG9" s="221">
        <f>-AG8*$C$9</f>
        <v>-903.31516119284265</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3993967.2</v>
      </c>
      <c r="G11" s="223">
        <f>SUM(G4:G10)</f>
        <v>4073846.5439999998</v>
      </c>
      <c r="I11" s="223">
        <f>SUM(I4:I10)</f>
        <v>4155323.4748800001</v>
      </c>
      <c r="K11" s="223">
        <f>SUM(K4:K10)</f>
        <v>4238429.9443776011</v>
      </c>
      <c r="M11" s="223">
        <f>SUM(M4:M10)</f>
        <v>4323198.5432651527</v>
      </c>
      <c r="O11" s="223">
        <f>SUM(O4:O10)</f>
        <v>4409662.5141304564</v>
      </c>
      <c r="Q11" s="223">
        <f>SUM(Q4:Q10)</f>
        <v>4497855.7644130643</v>
      </c>
      <c r="S11" s="223">
        <f>SUM(S4:S10)</f>
        <v>4587812.8797013266</v>
      </c>
      <c r="U11" s="223">
        <f>SUM(U4:U10)</f>
        <v>4679569.1372953532</v>
      </c>
      <c r="W11" s="223">
        <f>SUM(W4:W10)</f>
        <v>4773160.5200412609</v>
      </c>
      <c r="Y11" s="223">
        <f>SUM(Y4:Y10)</f>
        <v>4868623.7304420862</v>
      </c>
      <c r="AA11" s="223">
        <f>SUM(AA4:AA10)</f>
        <v>4965996.2050509276</v>
      </c>
      <c r="AC11" s="223">
        <f>SUM(AC4:AC10)</f>
        <v>5065316.1291519469</v>
      </c>
      <c r="AE11" s="223">
        <f>SUM(AE4:AE10)</f>
        <v>5166622.4517349862</v>
      </c>
      <c r="AG11" s="223">
        <f>SUM(AG4:AG10)</f>
        <v>5269954.9007696854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87773</v>
      </c>
      <c r="G15" s="219">
        <f>E15*$C$14</f>
        <v>90406.19</v>
      </c>
      <c r="I15" s="219">
        <f>G15*$C$14</f>
        <v>93118.375700000004</v>
      </c>
      <c r="K15" s="219">
        <f>I15*$C$14</f>
        <v>95911.926971000008</v>
      </c>
      <c r="M15" s="219">
        <f>K15*$C$14</f>
        <v>98789.284780130009</v>
      </c>
      <c r="O15" s="219">
        <f>M15*$C$14</f>
        <v>101752.96332353391</v>
      </c>
      <c r="Q15" s="219">
        <f>O15*$C$14</f>
        <v>104805.55222323994</v>
      </c>
      <c r="S15" s="219">
        <f>Q15*$C$14</f>
        <v>107949.71878993713</v>
      </c>
      <c r="U15" s="219">
        <f>S15*$C$14</f>
        <v>111188.21035363525</v>
      </c>
      <c r="W15" s="219">
        <f>U15*$C$14</f>
        <v>114523.85666424432</v>
      </c>
      <c r="Y15" s="219">
        <f>W15*$C$14</f>
        <v>117959.57236417165</v>
      </c>
      <c r="AA15" s="219">
        <f>Y15*$C$14</f>
        <v>121498.3595350968</v>
      </c>
      <c r="AC15" s="219">
        <f>AA15*$C$14</f>
        <v>125143.31032114971</v>
      </c>
      <c r="AE15" s="219">
        <f>AC15*$C$14</f>
        <v>128897.60963078421</v>
      </c>
      <c r="AG15" s="219">
        <f>AE15*$C$14</f>
        <v>132764.53791970774</v>
      </c>
    </row>
    <row r="16" spans="1:34" s="210" customFormat="1" ht="14.25">
      <c r="A16" s="210" t="s">
        <v>344</v>
      </c>
      <c r="C16" s="233"/>
      <c r="E16" s="222">
        <f>Application!W849</f>
        <v>187077</v>
      </c>
      <c r="F16" s="222"/>
      <c r="G16" s="222">
        <f t="shared" ref="G16:AG21" si="0">E16*$C$14</f>
        <v>192689.31</v>
      </c>
      <c r="H16" s="222"/>
      <c r="I16" s="222">
        <f t="shared" si="0"/>
        <v>198469.98930000002</v>
      </c>
      <c r="J16" s="222"/>
      <c r="K16" s="222">
        <f t="shared" si="0"/>
        <v>204424.08897900002</v>
      </c>
      <c r="L16" s="222"/>
      <c r="M16" s="222">
        <f t="shared" si="0"/>
        <v>210556.81164837003</v>
      </c>
      <c r="N16" s="222"/>
      <c r="O16" s="222">
        <f t="shared" si="0"/>
        <v>216873.51599782114</v>
      </c>
      <c r="P16" s="222"/>
      <c r="Q16" s="222">
        <f t="shared" si="0"/>
        <v>223379.72147775578</v>
      </c>
      <c r="R16" s="222"/>
      <c r="S16" s="222">
        <f t="shared" si="0"/>
        <v>230081.11312208846</v>
      </c>
      <c r="T16" s="222"/>
      <c r="U16" s="222">
        <f t="shared" si="0"/>
        <v>236983.54651575111</v>
      </c>
      <c r="V16" s="222"/>
      <c r="W16" s="222">
        <f t="shared" si="0"/>
        <v>244093.05291122364</v>
      </c>
      <c r="X16" s="222"/>
      <c r="Y16" s="222">
        <f t="shared" si="0"/>
        <v>251415.84449856036</v>
      </c>
      <c r="Z16" s="222"/>
      <c r="AA16" s="222">
        <f t="shared" si="0"/>
        <v>258958.31983351716</v>
      </c>
      <c r="AB16" s="222"/>
      <c r="AC16" s="222">
        <f t="shared" si="0"/>
        <v>266727.06942852266</v>
      </c>
      <c r="AD16" s="222"/>
      <c r="AE16" s="222">
        <f t="shared" si="0"/>
        <v>274728.88151137833</v>
      </c>
      <c r="AF16" s="222"/>
      <c r="AG16" s="222">
        <f t="shared" si="0"/>
        <v>282970.74795671972</v>
      </c>
    </row>
    <row r="17" spans="1:33" s="210" customFormat="1" ht="14.25">
      <c r="A17" s="210" t="s">
        <v>562</v>
      </c>
      <c r="C17" s="233"/>
      <c r="E17" s="222">
        <f>Application!W855</f>
        <v>395000</v>
      </c>
      <c r="F17" s="222"/>
      <c r="G17" s="222">
        <f t="shared" si="0"/>
        <v>406850</v>
      </c>
      <c r="H17" s="222"/>
      <c r="I17" s="222">
        <f t="shared" si="0"/>
        <v>419055.5</v>
      </c>
      <c r="J17" s="222"/>
      <c r="K17" s="222">
        <f t="shared" si="0"/>
        <v>431627.16500000004</v>
      </c>
      <c r="L17" s="222"/>
      <c r="M17" s="222">
        <f t="shared" si="0"/>
        <v>444575.97995000007</v>
      </c>
      <c r="N17" s="222"/>
      <c r="O17" s="222">
        <f t="shared" si="0"/>
        <v>457913.25934850005</v>
      </c>
      <c r="P17" s="222"/>
      <c r="Q17" s="222">
        <f t="shared" si="0"/>
        <v>471650.65712895506</v>
      </c>
      <c r="R17" s="222"/>
      <c r="S17" s="222">
        <f t="shared" si="0"/>
        <v>485800.17684282374</v>
      </c>
      <c r="T17" s="222"/>
      <c r="U17" s="222">
        <f t="shared" si="0"/>
        <v>500374.18214810849</v>
      </c>
      <c r="V17" s="222"/>
      <c r="W17" s="222">
        <f t="shared" si="0"/>
        <v>515385.40761255176</v>
      </c>
      <c r="X17" s="222"/>
      <c r="Y17" s="222">
        <f t="shared" si="0"/>
        <v>530846.96984092833</v>
      </c>
      <c r="Z17" s="222"/>
      <c r="AA17" s="222">
        <f t="shared" si="0"/>
        <v>546772.37893615616</v>
      </c>
      <c r="AB17" s="222"/>
      <c r="AC17" s="222">
        <f t="shared" si="0"/>
        <v>563175.5503042409</v>
      </c>
      <c r="AD17" s="222"/>
      <c r="AE17" s="222">
        <f t="shared" si="0"/>
        <v>580070.81681336812</v>
      </c>
      <c r="AF17" s="222"/>
      <c r="AG17" s="222">
        <f t="shared" si="0"/>
        <v>597472.94131776923</v>
      </c>
    </row>
    <row r="18" spans="1:33" s="210" customFormat="1" ht="14.25">
      <c r="A18" s="210" t="s">
        <v>843</v>
      </c>
      <c r="C18" s="233"/>
      <c r="E18" s="222">
        <f>Application!W862</f>
        <v>367591</v>
      </c>
      <c r="F18" s="222"/>
      <c r="G18" s="222">
        <f t="shared" si="0"/>
        <v>378618.73</v>
      </c>
      <c r="H18" s="222"/>
      <c r="I18" s="222">
        <f t="shared" si="0"/>
        <v>389977.29190000001</v>
      </c>
      <c r="J18" s="222"/>
      <c r="K18" s="222">
        <f t="shared" si="0"/>
        <v>401676.61065700004</v>
      </c>
      <c r="L18" s="222"/>
      <c r="M18" s="222">
        <f t="shared" si="0"/>
        <v>413726.90897671005</v>
      </c>
      <c r="N18" s="222"/>
      <c r="O18" s="222">
        <f t="shared" si="0"/>
        <v>426138.71624601138</v>
      </c>
      <c r="P18" s="222"/>
      <c r="Q18" s="222">
        <f t="shared" si="0"/>
        <v>438922.87773339171</v>
      </c>
      <c r="R18" s="222"/>
      <c r="S18" s="222">
        <f t="shared" si="0"/>
        <v>452090.56406539347</v>
      </c>
      <c r="T18" s="222"/>
      <c r="U18" s="222">
        <f t="shared" si="0"/>
        <v>465653.28098735528</v>
      </c>
      <c r="V18" s="222"/>
      <c r="W18" s="222">
        <f t="shared" si="0"/>
        <v>479622.87941697595</v>
      </c>
      <c r="X18" s="222"/>
      <c r="Y18" s="222">
        <f t="shared" si="0"/>
        <v>494011.56579948525</v>
      </c>
      <c r="Z18" s="222"/>
      <c r="AA18" s="222">
        <f t="shared" si="0"/>
        <v>508831.91277346981</v>
      </c>
      <c r="AB18" s="222"/>
      <c r="AC18" s="222">
        <f t="shared" si="0"/>
        <v>524096.87015667395</v>
      </c>
      <c r="AD18" s="222"/>
      <c r="AE18" s="222">
        <f t="shared" si="0"/>
        <v>539819.77626137412</v>
      </c>
      <c r="AF18" s="222"/>
      <c r="AG18" s="222">
        <f t="shared" si="0"/>
        <v>556014.36954921531</v>
      </c>
    </row>
    <row r="19" spans="1:33" s="210" customFormat="1" ht="14.25">
      <c r="A19" s="210" t="s">
        <v>155</v>
      </c>
      <c r="C19" s="233"/>
      <c r="E19" s="222">
        <f>Application!W863</f>
        <v>250000</v>
      </c>
      <c r="F19" s="222"/>
      <c r="G19" s="222">
        <f t="shared" si="0"/>
        <v>257500</v>
      </c>
      <c r="H19" s="222"/>
      <c r="I19" s="222">
        <f t="shared" si="0"/>
        <v>265225</v>
      </c>
      <c r="J19" s="222"/>
      <c r="K19" s="222">
        <f t="shared" si="0"/>
        <v>273181.75</v>
      </c>
      <c r="L19" s="222"/>
      <c r="M19" s="222">
        <f t="shared" si="0"/>
        <v>281377.20250000001</v>
      </c>
      <c r="N19" s="222"/>
      <c r="O19" s="222">
        <f t="shared" si="0"/>
        <v>289818.51857499999</v>
      </c>
      <c r="P19" s="222"/>
      <c r="Q19" s="222">
        <f t="shared" si="0"/>
        <v>298513.07413224998</v>
      </c>
      <c r="R19" s="222"/>
      <c r="S19" s="222">
        <f t="shared" si="0"/>
        <v>307468.46635621751</v>
      </c>
      <c r="T19" s="222"/>
      <c r="U19" s="222">
        <f t="shared" si="0"/>
        <v>316692.52034690406</v>
      </c>
      <c r="V19" s="222"/>
      <c r="W19" s="222">
        <f t="shared" si="0"/>
        <v>326193.29595731117</v>
      </c>
      <c r="X19" s="222"/>
      <c r="Y19" s="222">
        <f t="shared" si="0"/>
        <v>335979.0948360305</v>
      </c>
      <c r="Z19" s="222"/>
      <c r="AA19" s="222">
        <f t="shared" si="0"/>
        <v>346058.46768111142</v>
      </c>
      <c r="AB19" s="222"/>
      <c r="AC19" s="222">
        <f t="shared" si="0"/>
        <v>356440.22171154479</v>
      </c>
      <c r="AD19" s="222"/>
      <c r="AE19" s="222">
        <f t="shared" si="0"/>
        <v>367133.42836289114</v>
      </c>
      <c r="AF19" s="222"/>
      <c r="AG19" s="222">
        <f t="shared" si="0"/>
        <v>378147.43121377786</v>
      </c>
    </row>
    <row r="20" spans="1:33" s="210" customFormat="1" ht="14.25">
      <c r="A20" s="210" t="s">
        <v>390</v>
      </c>
      <c r="C20" s="233"/>
      <c r="E20" s="222">
        <f>Application!W872</f>
        <v>275000</v>
      </c>
      <c r="F20" s="222"/>
      <c r="G20" s="222">
        <f t="shared" si="0"/>
        <v>283250</v>
      </c>
      <c r="H20" s="222"/>
      <c r="I20" s="222">
        <f t="shared" si="0"/>
        <v>291747.5</v>
      </c>
      <c r="J20" s="222"/>
      <c r="K20" s="222">
        <f t="shared" si="0"/>
        <v>300499.92499999999</v>
      </c>
      <c r="L20" s="222"/>
      <c r="M20" s="222">
        <f t="shared" si="0"/>
        <v>309514.92274999997</v>
      </c>
      <c r="N20" s="222"/>
      <c r="O20" s="222">
        <f t="shared" si="0"/>
        <v>318800.37043249997</v>
      </c>
      <c r="P20" s="222"/>
      <c r="Q20" s="222">
        <f t="shared" si="0"/>
        <v>328364.38154547499</v>
      </c>
      <c r="R20" s="222"/>
      <c r="S20" s="222">
        <f t="shared" si="0"/>
        <v>338215.31299183925</v>
      </c>
      <c r="T20" s="222"/>
      <c r="U20" s="222">
        <f t="shared" si="0"/>
        <v>348361.77238159446</v>
      </c>
      <c r="V20" s="222"/>
      <c r="W20" s="222">
        <f t="shared" si="0"/>
        <v>358812.62555304228</v>
      </c>
      <c r="X20" s="222"/>
      <c r="Y20" s="222">
        <f t="shared" si="0"/>
        <v>369577.00431963353</v>
      </c>
      <c r="Z20" s="222"/>
      <c r="AA20" s="222">
        <f t="shared" si="0"/>
        <v>380664.31444922253</v>
      </c>
      <c r="AB20" s="222"/>
      <c r="AC20" s="222">
        <f t="shared" si="0"/>
        <v>392084.24388269923</v>
      </c>
      <c r="AD20" s="222"/>
      <c r="AE20" s="222">
        <f t="shared" si="0"/>
        <v>403846.77119918022</v>
      </c>
      <c r="AF20" s="222"/>
      <c r="AG20" s="222">
        <f t="shared" si="0"/>
        <v>415962.17433515564</v>
      </c>
    </row>
    <row r="21" spans="1:33" s="210" customFormat="1" ht="14.25">
      <c r="A21" s="226" t="s">
        <v>963</v>
      </c>
      <c r="B21" s="226"/>
      <c r="C21" s="233"/>
      <c r="E21" s="232">
        <f>Application!W879</f>
        <v>15000</v>
      </c>
      <c r="F21" s="222"/>
      <c r="G21" s="232">
        <f t="shared" si="0"/>
        <v>15450</v>
      </c>
      <c r="H21" s="222"/>
      <c r="I21" s="232">
        <f t="shared" si="0"/>
        <v>15913.5</v>
      </c>
      <c r="J21" s="222"/>
      <c r="K21" s="232">
        <f t="shared" si="0"/>
        <v>16390.904999999999</v>
      </c>
      <c r="L21" s="222"/>
      <c r="M21" s="232">
        <f t="shared" si="0"/>
        <v>16882.632149999998</v>
      </c>
      <c r="N21" s="222"/>
      <c r="O21" s="232">
        <f t="shared" si="0"/>
        <v>17389.1111145</v>
      </c>
      <c r="P21" s="222"/>
      <c r="Q21" s="232">
        <f t="shared" si="0"/>
        <v>17910.784447934999</v>
      </c>
      <c r="R21" s="222"/>
      <c r="S21" s="232">
        <f t="shared" si="0"/>
        <v>18448.10798137305</v>
      </c>
      <c r="T21" s="222"/>
      <c r="U21" s="232">
        <f t="shared" si="0"/>
        <v>19001.551220814243</v>
      </c>
      <c r="V21" s="222"/>
      <c r="W21" s="232">
        <f t="shared" si="0"/>
        <v>19571.597757438671</v>
      </c>
      <c r="X21" s="222"/>
      <c r="Y21" s="232">
        <f t="shared" si="0"/>
        <v>20158.745690161832</v>
      </c>
      <c r="Z21" s="222"/>
      <c r="AA21" s="232">
        <f t="shared" si="0"/>
        <v>20763.508060866687</v>
      </c>
      <c r="AB21" s="222"/>
      <c r="AC21" s="232">
        <f t="shared" si="0"/>
        <v>21386.413302692687</v>
      </c>
      <c r="AD21" s="222"/>
      <c r="AE21" s="232">
        <f t="shared" si="0"/>
        <v>22028.005701773469</v>
      </c>
      <c r="AF21" s="222"/>
      <c r="AG21" s="232">
        <f t="shared" si="0"/>
        <v>22688.845872826674</v>
      </c>
    </row>
    <row r="22" spans="1:33" s="223" customFormat="1" ht="15">
      <c r="A22" s="223" t="s">
        <v>844</v>
      </c>
      <c r="C22" s="233"/>
      <c r="E22" s="223">
        <f>SUM(E15:E21)</f>
        <v>1577441</v>
      </c>
      <c r="G22" s="223">
        <f>SUM(G15:G21)</f>
        <v>1624764.23</v>
      </c>
      <c r="I22" s="223">
        <f>SUM(I15:I21)</f>
        <v>1673507.1569000001</v>
      </c>
      <c r="K22" s="223">
        <f>SUM(K15:K21)</f>
        <v>1723712.3716070002</v>
      </c>
      <c r="M22" s="223">
        <f>SUM(M15:M21)</f>
        <v>1775423.74275521</v>
      </c>
      <c r="O22" s="223">
        <f>SUM(O15:O21)</f>
        <v>1828686.4550378665</v>
      </c>
      <c r="Q22" s="223">
        <f>SUM(Q15:Q21)</f>
        <v>1883547.0486890024</v>
      </c>
      <c r="S22" s="223">
        <f>SUM(S15:S21)</f>
        <v>1940053.4601496728</v>
      </c>
      <c r="U22" s="223">
        <f>SUM(U15:U21)</f>
        <v>1998255.0639541629</v>
      </c>
      <c r="W22" s="223">
        <f>SUM(W15:W21)</f>
        <v>2058202.7158727874</v>
      </c>
      <c r="Y22" s="223">
        <f>SUM(Y15:Y21)</f>
        <v>2119948.7973489715</v>
      </c>
      <c r="AA22" s="223">
        <f>SUM(AA15:AA21)</f>
        <v>2183547.2612694404</v>
      </c>
      <c r="AC22" s="223">
        <f>SUM(AC15:AC21)</f>
        <v>2249053.679107524</v>
      </c>
      <c r="AE22" s="223">
        <f>SUM(AE15:AE21)</f>
        <v>2316525.2894807495</v>
      </c>
      <c r="AG22" s="223">
        <f>SUM(AG15:AG21)</f>
        <v>2386021.0481651723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v>
      </c>
      <c r="E27" s="222">
        <f>Application!AC888</f>
        <v>23400</v>
      </c>
      <c r="F27" s="222"/>
      <c r="G27" s="222">
        <f>E27*$C$27</f>
        <v>24102</v>
      </c>
      <c r="H27" s="222"/>
      <c r="I27" s="222">
        <f>G27*$C$27</f>
        <v>24825.06</v>
      </c>
      <c r="J27" s="222"/>
      <c r="K27" s="222">
        <f>I27*$C$27</f>
        <v>25569.811800000003</v>
      </c>
      <c r="L27" s="222"/>
      <c r="M27" s="222">
        <f>K27*$C$27</f>
        <v>26336.906154000004</v>
      </c>
      <c r="N27" s="222"/>
      <c r="O27" s="222">
        <f>M27*$C$27</f>
        <v>27127.013338620003</v>
      </c>
      <c r="P27" s="222"/>
      <c r="Q27" s="222">
        <f>O27*$C$27</f>
        <v>27940.823738778603</v>
      </c>
      <c r="R27" s="222"/>
      <c r="S27" s="222">
        <f>Q27*$C$27</f>
        <v>28779.048450941962</v>
      </c>
      <c r="T27" s="222"/>
      <c r="U27" s="222">
        <f>S27*$C$27</f>
        <v>29642.419904470222</v>
      </c>
      <c r="V27" s="222"/>
      <c r="W27" s="222">
        <f>U27*$C$27</f>
        <v>30531.692501604328</v>
      </c>
      <c r="X27" s="222"/>
      <c r="Y27" s="222">
        <f>W27*$C$27</f>
        <v>31447.643276652459</v>
      </c>
      <c r="Z27" s="222"/>
      <c r="AA27" s="222">
        <f>Y27*$C$27</f>
        <v>32391.072574952035</v>
      </c>
      <c r="AB27" s="222"/>
      <c r="AC27" s="222">
        <f>AA27*$C$27</f>
        <v>33362.804752200595</v>
      </c>
      <c r="AD27" s="222"/>
      <c r="AE27" s="222">
        <f>AC27*$C$27</f>
        <v>34363.688894766616</v>
      </c>
      <c r="AF27" s="222"/>
      <c r="AG27" s="222">
        <f>AE27*$C$27</f>
        <v>35394.599561609612</v>
      </c>
    </row>
    <row r="28" spans="1:33" s="210" customFormat="1" ht="14.25">
      <c r="A28" s="210" t="s">
        <v>847</v>
      </c>
      <c r="C28" s="237"/>
      <c r="E28" s="222">
        <f>Application!AC889</f>
        <v>81500</v>
      </c>
      <c r="F28" s="222"/>
      <c r="G28" s="222">
        <f>$E$28</f>
        <v>81500</v>
      </c>
      <c r="H28" s="222"/>
      <c r="I28" s="222">
        <f>$E$28</f>
        <v>81500</v>
      </c>
      <c r="J28" s="222"/>
      <c r="K28" s="222">
        <f>$E$28</f>
        <v>81500</v>
      </c>
      <c r="L28" s="222"/>
      <c r="M28" s="222">
        <f>$E$28</f>
        <v>81500</v>
      </c>
      <c r="N28" s="222"/>
      <c r="O28" s="222">
        <f>$E$28</f>
        <v>81500</v>
      </c>
      <c r="P28" s="222"/>
      <c r="Q28" s="222">
        <f>$E$28</f>
        <v>81500</v>
      </c>
      <c r="R28" s="222"/>
      <c r="S28" s="222">
        <f>$E$28</f>
        <v>81500</v>
      </c>
      <c r="T28" s="222"/>
      <c r="U28" s="222">
        <f>$E$28</f>
        <v>81500</v>
      </c>
      <c r="V28" s="222"/>
      <c r="W28" s="222">
        <f>$E$28</f>
        <v>81500</v>
      </c>
      <c r="X28" s="222"/>
      <c r="Y28" s="222">
        <f>$E$28</f>
        <v>81500</v>
      </c>
      <c r="Z28" s="222"/>
      <c r="AA28" s="222">
        <f>$E$28</f>
        <v>81500</v>
      </c>
      <c r="AB28" s="222"/>
      <c r="AC28" s="222">
        <f>$E$28</f>
        <v>81500</v>
      </c>
      <c r="AD28" s="222"/>
      <c r="AE28" s="222">
        <f>$E$28</f>
        <v>81500</v>
      </c>
      <c r="AF28" s="222"/>
      <c r="AG28" s="222">
        <f>$E$28</f>
        <v>81500</v>
      </c>
    </row>
    <row r="29" spans="1:33" s="210" customFormat="1" ht="14.25">
      <c r="A29" s="210" t="s">
        <v>1681</v>
      </c>
      <c r="C29" s="237"/>
      <c r="E29" s="222">
        <f>Application!AC890</f>
        <v>42920</v>
      </c>
      <c r="F29" s="222"/>
      <c r="G29" s="222">
        <f>$E$29</f>
        <v>42920</v>
      </c>
      <c r="H29" s="222"/>
      <c r="I29" s="222">
        <f>$E$29</f>
        <v>42920</v>
      </c>
      <c r="J29" s="222"/>
      <c r="K29" s="222">
        <f>$E$29</f>
        <v>42920</v>
      </c>
      <c r="L29" s="222"/>
      <c r="M29" s="222">
        <f>$E$29</f>
        <v>42920</v>
      </c>
      <c r="N29" s="222"/>
      <c r="O29" s="222">
        <f>$E$29</f>
        <v>42920</v>
      </c>
      <c r="P29" s="222"/>
      <c r="Q29" s="222">
        <f>$E$29</f>
        <v>42920</v>
      </c>
      <c r="R29" s="222"/>
      <c r="S29" s="222">
        <f>$E$29</f>
        <v>42920</v>
      </c>
      <c r="T29" s="222"/>
      <c r="U29" s="222">
        <f>$E$29</f>
        <v>42920</v>
      </c>
      <c r="V29" s="222"/>
      <c r="W29" s="222">
        <f>$E$29</f>
        <v>42920</v>
      </c>
      <c r="X29" s="222"/>
      <c r="Y29" s="222">
        <f>$E$29</f>
        <v>42920</v>
      </c>
      <c r="Z29" s="222"/>
      <c r="AA29" s="222">
        <f>$E$29</f>
        <v>42920</v>
      </c>
      <c r="AB29" s="222"/>
      <c r="AC29" s="222">
        <f>$E$29</f>
        <v>42920</v>
      </c>
      <c r="AD29" s="222"/>
      <c r="AE29" s="222">
        <f>$E$29</f>
        <v>42920</v>
      </c>
      <c r="AF29" s="222"/>
      <c r="AG29" s="222">
        <f>$E$29</f>
        <v>42920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1500</v>
      </c>
      <c r="F31" s="222"/>
      <c r="G31" s="222">
        <f>E31*$C$31</f>
        <v>1530</v>
      </c>
      <c r="H31" s="222"/>
      <c r="I31" s="222">
        <f>G31*$C$31</f>
        <v>1560.6000000000001</v>
      </c>
      <c r="J31" s="222"/>
      <c r="K31" s="222">
        <f>I31*$C$31</f>
        <v>1591.8120000000001</v>
      </c>
      <c r="L31" s="222"/>
      <c r="M31" s="222">
        <f>K31*$C$31</f>
        <v>1623.6482400000002</v>
      </c>
      <c r="N31" s="222"/>
      <c r="O31" s="222">
        <f>M31*$C$31</f>
        <v>1656.1212048000002</v>
      </c>
      <c r="P31" s="222"/>
      <c r="Q31" s="222">
        <f>O31*$C$31</f>
        <v>1689.2436288960002</v>
      </c>
      <c r="R31" s="222"/>
      <c r="S31" s="222">
        <f>Q31*$C$31</f>
        <v>1723.0285014739202</v>
      </c>
      <c r="T31" s="222"/>
      <c r="U31" s="222">
        <f>S31*$C$31</f>
        <v>1757.4890715033987</v>
      </c>
      <c r="V31" s="222"/>
      <c r="W31" s="222">
        <f>U31*$C$31</f>
        <v>1792.6388529334668</v>
      </c>
      <c r="X31" s="222"/>
      <c r="Y31" s="222">
        <f>W31*$C$31</f>
        <v>1828.491629992136</v>
      </c>
      <c r="Z31" s="222"/>
      <c r="AA31" s="222">
        <f>Y31*$C$31</f>
        <v>1865.0614625919789</v>
      </c>
      <c r="AB31" s="222"/>
      <c r="AC31" s="222">
        <f>AA31*$C$31</f>
        <v>1902.3626918438185</v>
      </c>
      <c r="AD31" s="222"/>
      <c r="AE31" s="222">
        <f>AC31*$C$31</f>
        <v>1940.409945680695</v>
      </c>
      <c r="AF31" s="222"/>
      <c r="AG31" s="222">
        <f>AE31*$C$31</f>
        <v>1979.218144594309</v>
      </c>
    </row>
    <row r="32" spans="1:33" s="210" customFormat="1" ht="14.25">
      <c r="A32" s="210" t="str">
        <f>Application!C894</f>
        <v>Other (Specify):</v>
      </c>
      <c r="C32" s="316">
        <v>1.03</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1726761</v>
      </c>
      <c r="G35" s="223">
        <f>SUM(G22:G33)</f>
        <v>1774816.23</v>
      </c>
      <c r="I35" s="223">
        <f>SUM(I22:I33)</f>
        <v>1824312.8169000002</v>
      </c>
      <c r="K35" s="223">
        <f>SUM(K22:K33)</f>
        <v>1875293.9954070002</v>
      </c>
      <c r="M35" s="223">
        <f>SUM(M22:M33)</f>
        <v>1927804.29714921</v>
      </c>
      <c r="O35" s="223">
        <f>SUM(O22:O33)</f>
        <v>1981889.5895812865</v>
      </c>
      <c r="Q35" s="223">
        <f>SUM(Q22:Q33)</f>
        <v>2037597.1160566772</v>
      </c>
      <c r="S35" s="223">
        <f>SUM(S22:S33)</f>
        <v>2094975.5371020886</v>
      </c>
      <c r="U35" s="223">
        <f>SUM(U22:U33)</f>
        <v>2154074.9729301361</v>
      </c>
      <c r="W35" s="223">
        <f>SUM(W22:W33)</f>
        <v>2214947.0472273249</v>
      </c>
      <c r="Y35" s="223">
        <f>SUM(Y22:Y33)</f>
        <v>2277644.9322556159</v>
      </c>
      <c r="AA35" s="223">
        <f>SUM(AA22:AA33)</f>
        <v>2342223.3953069844</v>
      </c>
      <c r="AC35" s="223">
        <f>SUM(AC22:AC33)</f>
        <v>2408738.8465515682</v>
      </c>
      <c r="AE35" s="223">
        <f>SUM(AE22:AE33)</f>
        <v>2477249.3883211967</v>
      </c>
      <c r="AG35" s="223">
        <f>SUM(AG22:AG33)</f>
        <v>2547814.8658713764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2267206.2000000002</v>
      </c>
      <c r="G37" s="223">
        <f>G11-G35</f>
        <v>2299030.3139999998</v>
      </c>
      <c r="I37" s="223">
        <f>I11-I35</f>
        <v>2331010.6579799997</v>
      </c>
      <c r="K37" s="223">
        <f>K11-K35</f>
        <v>2363135.948970601</v>
      </c>
      <c r="M37" s="223">
        <f>M11-M35</f>
        <v>2395394.2461159425</v>
      </c>
      <c r="O37" s="223">
        <f>O11-O35</f>
        <v>2427772.9245491698</v>
      </c>
      <c r="Q37" s="223">
        <f>Q11-Q35</f>
        <v>2460258.6483563874</v>
      </c>
      <c r="S37" s="223">
        <f>S11-S35</f>
        <v>2492837.3425992383</v>
      </c>
      <c r="U37" s="223">
        <f>U11-U35</f>
        <v>2525494.1643652171</v>
      </c>
      <c r="W37" s="223">
        <f>W11-W35</f>
        <v>2558213.472813936</v>
      </c>
      <c r="Y37" s="223">
        <f>Y11-Y35</f>
        <v>2590978.7981864703</v>
      </c>
      <c r="AA37" s="223">
        <f>AA11-AA35</f>
        <v>2623772.8097439432</v>
      </c>
      <c r="AC37" s="223">
        <f>AC11-AC35</f>
        <v>2656577.2826003786</v>
      </c>
      <c r="AE37" s="223">
        <f>AE11-AE35</f>
        <v>2689373.0634137895</v>
      </c>
      <c r="AG37" s="223">
        <f>AG11-AG35</f>
        <v>2722140.034898309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Permanent Loan</v>
      </c>
      <c r="B40" s="226"/>
      <c r="C40" s="220"/>
      <c r="E40" s="222">
        <f>Application!AF627</f>
        <v>1881286</v>
      </c>
      <c r="F40" s="222"/>
      <c r="G40" s="222">
        <f>$E$40</f>
        <v>1881286</v>
      </c>
      <c r="H40" s="222"/>
      <c r="I40" s="222">
        <f>$E$40</f>
        <v>1881286</v>
      </c>
      <c r="J40" s="222"/>
      <c r="K40" s="222">
        <f>$E$40</f>
        <v>1881286</v>
      </c>
      <c r="L40" s="222"/>
      <c r="M40" s="222">
        <f>$E$40</f>
        <v>1881286</v>
      </c>
      <c r="N40" s="222"/>
      <c r="O40" s="222">
        <f>$E$40</f>
        <v>1881286</v>
      </c>
      <c r="P40" s="222"/>
      <c r="Q40" s="222">
        <f>$E$40</f>
        <v>1881286</v>
      </c>
      <c r="R40" s="222"/>
      <c r="S40" s="222">
        <f>$E$40</f>
        <v>1881286</v>
      </c>
      <c r="T40" s="222"/>
      <c r="U40" s="222">
        <f>$E$40</f>
        <v>1881286</v>
      </c>
      <c r="V40" s="222"/>
      <c r="W40" s="222">
        <f>$E$40</f>
        <v>1881286</v>
      </c>
      <c r="X40" s="222"/>
      <c r="Y40" s="222">
        <f>$E$40</f>
        <v>1881286</v>
      </c>
      <c r="Z40" s="222"/>
      <c r="AA40" s="222">
        <f>$E$40</f>
        <v>1881286</v>
      </c>
      <c r="AB40" s="222"/>
      <c r="AC40" s="222">
        <f>$E$40</f>
        <v>1881286</v>
      </c>
      <c r="AD40" s="222"/>
      <c r="AE40" s="222">
        <f>$E$40</f>
        <v>1881286</v>
      </c>
      <c r="AF40" s="222"/>
      <c r="AG40" s="222">
        <f>$E$40</f>
        <v>1881286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1881286</v>
      </c>
      <c r="G43" s="223">
        <f>SUM(G40:G42)</f>
        <v>1881286</v>
      </c>
      <c r="I43" s="223">
        <f>SUM(I40:I42)</f>
        <v>1881286</v>
      </c>
      <c r="K43" s="223">
        <f>SUM(K40:K42)</f>
        <v>1881286</v>
      </c>
      <c r="M43" s="223">
        <f>SUM(M40:M42)</f>
        <v>1881286</v>
      </c>
      <c r="O43" s="223">
        <f>SUM(O40:O42)</f>
        <v>1881286</v>
      </c>
      <c r="Q43" s="223">
        <f>SUM(Q40:Q42)</f>
        <v>1881286</v>
      </c>
      <c r="S43" s="223">
        <f>SUM(S40:S42)</f>
        <v>1881286</v>
      </c>
      <c r="U43" s="223">
        <f>SUM(U40:U42)</f>
        <v>1881286</v>
      </c>
      <c r="W43" s="223">
        <f>SUM(W40:W42)</f>
        <v>1881286</v>
      </c>
      <c r="Y43" s="223">
        <f>SUM(Y40:Y42)</f>
        <v>1881286</v>
      </c>
      <c r="AA43" s="223">
        <f>SUM(AA40:AA42)</f>
        <v>1881286</v>
      </c>
      <c r="AC43" s="223">
        <f>SUM(AC40:AC42)</f>
        <v>1881286</v>
      </c>
      <c r="AE43" s="223">
        <f>SUM(AE40:AE42)</f>
        <v>1881286</v>
      </c>
      <c r="AG43" s="223">
        <f>SUM(AG40:AG42)</f>
        <v>1881286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385920.20000000019</v>
      </c>
      <c r="G45" s="223">
        <f>G37-G43</f>
        <v>417744.31399999978</v>
      </c>
      <c r="I45" s="223">
        <f>I37-I43</f>
        <v>449724.65797999967</v>
      </c>
      <c r="K45" s="223">
        <f>K37-K43</f>
        <v>481849.94897060096</v>
      </c>
      <c r="M45" s="223">
        <f>M37-M43</f>
        <v>514108.24611594249</v>
      </c>
      <c r="O45" s="223">
        <f>O37-O43</f>
        <v>546486.92454916984</v>
      </c>
      <c r="Q45" s="223">
        <f>Q37-Q43</f>
        <v>578972.64835638739</v>
      </c>
      <c r="S45" s="223">
        <f>S37-S43</f>
        <v>611551.34259923827</v>
      </c>
      <c r="U45" s="223">
        <f>U37-U43</f>
        <v>644208.16436521709</v>
      </c>
      <c r="W45" s="223">
        <f>W37-W43</f>
        <v>676927.47281393595</v>
      </c>
      <c r="Y45" s="223">
        <f>Y37-Y43</f>
        <v>709692.79818647029</v>
      </c>
      <c r="AA45" s="223">
        <f>AA37-AA43</f>
        <v>742486.80974394316</v>
      </c>
      <c r="AC45" s="223">
        <f>AC37-AC43</f>
        <v>775291.28260037862</v>
      </c>
      <c r="AE45" s="223">
        <f>AE37-AE43</f>
        <v>808087.0634137895</v>
      </c>
      <c r="AG45" s="223">
        <f>AG37-AG43</f>
        <v>840854.03489830904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9.1794491952763207E-2</v>
      </c>
      <c r="G47" s="227">
        <f>G45/(G4+G6+G8)</f>
        <v>9.7415819180645069E-2</v>
      </c>
      <c r="I47" s="227">
        <f>I45/(I4+I6+I8)</f>
        <v>0.1028171278755471</v>
      </c>
      <c r="K47" s="227">
        <f>K45/(K4+K6+K8)</f>
        <v>0.10800165569075863</v>
      </c>
      <c r="M47" s="227">
        <f>M45/(M4+M6+M8)</f>
        <v>0.11297256624288014</v>
      </c>
      <c r="O47" s="227">
        <f>O45/(O4+O6+O8)</f>
        <v>0.11773295046006153</v>
      </c>
      <c r="Q47" s="227">
        <f>Q45/(Q4+Q6+Q8)</f>
        <v>0.12228582790278555</v>
      </c>
      <c r="S47" s="227">
        <f>S45/(S4+S6+S8)</f>
        <v>0.1266341480577339</v>
      </c>
      <c r="U47" s="227">
        <f>U45/(U4+U6+U8)</f>
        <v>0.13078079160524425</v>
      </c>
      <c r="W47" s="227">
        <f>W45/(W4+W6+W8)</f>
        <v>0.13472857166087515</v>
      </c>
      <c r="Y47" s="227">
        <f>Y45/(Y4+Y6+Y8)</f>
        <v>0.13848023499156847</v>
      </c>
      <c r="AA47" s="227">
        <f>AA45/(AA4+AA6+AA8)</f>
        <v>0.142038463206903</v>
      </c>
      <c r="AC47" s="227">
        <f>AC45/(AC4+AC6+AC8)</f>
        <v>0.14540587392591262</v>
      </c>
      <c r="AE47" s="227">
        <f>AE45/(AE4+AE6+AE8)</f>
        <v>0.14858502191994061</v>
      </c>
      <c r="AG47" s="227">
        <f>AG45/(AG4+AG6+AG8)</f>
        <v>0.15157840023198793</v>
      </c>
    </row>
    <row r="48" spans="1:33" s="227" customFormat="1" ht="14.25">
      <c r="A48" s="227" t="s">
        <v>853</v>
      </c>
      <c r="C48" s="220"/>
      <c r="E48" s="227">
        <f>E45/E43</f>
        <v>0.20513638011445373</v>
      </c>
      <c r="G48" s="227">
        <f>G45/G43</f>
        <v>0.2220525289615719</v>
      </c>
      <c r="I48" s="227">
        <f>I45/I43</f>
        <v>0.23905172205608274</v>
      </c>
      <c r="K48" s="227">
        <f>K45/K43</f>
        <v>0.25612796192104814</v>
      </c>
      <c r="M48" s="227">
        <f>M45/M43</f>
        <v>0.27327490137913241</v>
      </c>
      <c r="O48" s="227">
        <f>O45/O43</f>
        <v>0.29048582966607406</v>
      </c>
      <c r="Q48" s="227">
        <f>Q45/Q43</f>
        <v>0.30775365805963972</v>
      </c>
      <c r="S48" s="227">
        <f>S45/S43</f>
        <v>0.3250709050081903</v>
      </c>
      <c r="U48" s="227">
        <f>U45/U43</f>
        <v>0.3424296807424374</v>
      </c>
      <c r="W48" s="227">
        <f>W45/W43</f>
        <v>0.35982167135349752</v>
      </c>
      <c r="Y48" s="227">
        <f>Y45/Y43</f>
        <v>0.37723812231976972</v>
      </c>
      <c r="AA48" s="227">
        <f>AA45/AA43</f>
        <v>0.39466982146464874</v>
      </c>
      <c r="AC48" s="227">
        <f>AC45/AC43</f>
        <v>0.41210708132648549</v>
      </c>
      <c r="AE48" s="227">
        <f>AE45/AE43</f>
        <v>0.42953972092164056</v>
      </c>
      <c r="AG48" s="227">
        <f>AG45/AG43</f>
        <v>0.44695704688086185</v>
      </c>
    </row>
    <row r="49" spans="1:34" s="228" customFormat="1" ht="14.25">
      <c r="A49" s="228" t="s">
        <v>851</v>
      </c>
      <c r="C49" s="229"/>
      <c r="E49" s="228">
        <f>E37/E43</f>
        <v>1.2051363801144537</v>
      </c>
      <c r="G49" s="228">
        <f>G37/G43</f>
        <v>1.222052528961572</v>
      </c>
      <c r="I49" s="228">
        <f>I37/I43</f>
        <v>1.2390517220560828</v>
      </c>
      <c r="K49" s="228">
        <f>K37/K43</f>
        <v>1.2561279619210481</v>
      </c>
      <c r="M49" s="228">
        <f>M37/M43</f>
        <v>1.2732749013791325</v>
      </c>
      <c r="O49" s="228">
        <f>O37/O43</f>
        <v>1.2904858296660742</v>
      </c>
      <c r="Q49" s="228">
        <f>Q37/Q43</f>
        <v>1.3077536580596398</v>
      </c>
      <c r="S49" s="228">
        <f>S37/S43</f>
        <v>1.3250709050081904</v>
      </c>
      <c r="U49" s="228">
        <f>U37/U43</f>
        <v>1.3424296807424374</v>
      </c>
      <c r="W49" s="228">
        <f>W37/W43</f>
        <v>1.3598216713534976</v>
      </c>
      <c r="Y49" s="228">
        <f>Y37/Y43</f>
        <v>1.3772381223197696</v>
      </c>
      <c r="AA49" s="228">
        <f>AA37/AA43</f>
        <v>1.3946698214646487</v>
      </c>
      <c r="AC49" s="228">
        <f>AC37/AC43</f>
        <v>1.4121070813264855</v>
      </c>
      <c r="AE49" s="228">
        <f>AE37/AE43</f>
        <v>1.4295397209216405</v>
      </c>
      <c r="AG49" s="228">
        <f>AG37/AG43</f>
        <v>1.4469570468808619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385920.20000000019</v>
      </c>
      <c r="G60" s="962">
        <f>G45-G58</f>
        <v>417744.31399999978</v>
      </c>
      <c r="I60" s="962">
        <f>I45-I58</f>
        <v>449724.65797999967</v>
      </c>
      <c r="K60" s="962">
        <f>K45-K58</f>
        <v>481849.94897060096</v>
      </c>
      <c r="M60" s="962">
        <f>M45-M58</f>
        <v>514108.24611594249</v>
      </c>
      <c r="O60" s="962">
        <f>O45-O58</f>
        <v>546486.92454916984</v>
      </c>
      <c r="Q60" s="962">
        <f>Q45-Q58</f>
        <v>578972.64835638739</v>
      </c>
      <c r="S60" s="962">
        <f>S45-S58</f>
        <v>611551.34259923827</v>
      </c>
      <c r="U60" s="962">
        <f>U45-U58</f>
        <v>644208.16436521709</v>
      </c>
      <c r="W60" s="962">
        <f>W45-W58</f>
        <v>676927.47281393595</v>
      </c>
      <c r="Y60" s="962">
        <f>Y45-Y58</f>
        <v>709692.79818647029</v>
      </c>
      <c r="AA60" s="962">
        <f>AA45-AA58</f>
        <v>742486.80974394316</v>
      </c>
      <c r="AC60" s="962">
        <f>AC45-AC58</f>
        <v>775291.28260037862</v>
      </c>
      <c r="AE60" s="962">
        <f>AE45-AE58</f>
        <v>808087.0634137895</v>
      </c>
      <c r="AG60" s="962">
        <f>AG45-AG58</f>
        <v>840854.03489830904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385920.20000000019</v>
      </c>
      <c r="G62" s="962">
        <f>G60*$C$62</f>
        <v>417744.31399999978</v>
      </c>
      <c r="I62" s="962">
        <f>I60*$C$62</f>
        <v>449724.65797999967</v>
      </c>
      <c r="K62" s="962">
        <f>K60*$C$62</f>
        <v>481849.94897060096</v>
      </c>
      <c r="M62" s="962">
        <f>M60*$C$62</f>
        <v>514108.24611594249</v>
      </c>
      <c r="O62" s="962">
        <f>O60*$C$62</f>
        <v>546486.92454916984</v>
      </c>
      <c r="Q62" s="962">
        <f>Q60*$C$62</f>
        <v>578972.64835638739</v>
      </c>
      <c r="S62" s="962">
        <f>S60*$C$62</f>
        <v>611551.34259923827</v>
      </c>
      <c r="U62" s="962">
        <f>U60*$C$62</f>
        <v>644208.16436521709</v>
      </c>
      <c r="W62" s="962">
        <f>W60*$C$62</f>
        <v>676927.47281393595</v>
      </c>
      <c r="Y62" s="962">
        <f>Y60*$C$62</f>
        <v>709692.79818647029</v>
      </c>
      <c r="AA62" s="962">
        <f>AA60*$C$62</f>
        <v>742486.80974394316</v>
      </c>
      <c r="AC62" s="962">
        <f>AC60*$C$62</f>
        <v>775291.28260037862</v>
      </c>
      <c r="AE62" s="962">
        <f>AE60*$C$62</f>
        <v>808087.0634137895</v>
      </c>
      <c r="AG62" s="962">
        <f>AG60*$C$62</f>
        <v>840854.03489830904</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7445849</v>
      </c>
      <c r="C5" s="266">
        <f>'Sources and Uses Budget'!$C4</f>
        <v>7445849</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7445849</v>
      </c>
      <c r="C9" s="270">
        <f>SUM(C5:C8)</f>
        <v>7445849</v>
      </c>
      <c r="D9" s="270">
        <f t="shared" si="0"/>
        <v>0</v>
      </c>
      <c r="E9" s="268"/>
      <c r="F9" s="267"/>
    </row>
    <row r="10" spans="1:6" s="352" customFormat="1">
      <c r="A10" s="364" t="s">
        <v>595</v>
      </c>
      <c r="B10" s="266">
        <f>'Sources and Uses Budget'!$C9</f>
        <v>67554151</v>
      </c>
      <c r="C10" s="266">
        <f>'Sources and Uses Budget'!$C9</f>
        <v>67554151</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67554151</v>
      </c>
      <c r="C12" s="270">
        <f>SUM(C10:C11)</f>
        <v>67554151</v>
      </c>
      <c r="D12" s="270">
        <f t="shared" si="0"/>
        <v>0</v>
      </c>
      <c r="E12" s="268"/>
      <c r="F12" s="267"/>
    </row>
    <row r="13" spans="1:6" s="352" customFormat="1">
      <c r="A13" s="365" t="s">
        <v>84</v>
      </c>
      <c r="B13" s="270">
        <f>SUM(B9+B12)</f>
        <v>75000000</v>
      </c>
      <c r="C13" s="270">
        <f>SUM(C9+C12)</f>
        <v>75000000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3204790</v>
      </c>
      <c r="C18" s="266">
        <f>'Sources and Uses Budget'!$C17</f>
        <v>3204790</v>
      </c>
      <c r="D18" s="270">
        <f t="shared" si="0"/>
        <v>0</v>
      </c>
      <c r="E18" s="268"/>
      <c r="F18" s="267"/>
    </row>
    <row r="19" spans="1:6" s="352" customFormat="1">
      <c r="A19" s="145" t="s">
        <v>600</v>
      </c>
      <c r="B19" s="266">
        <f>'Sources and Uses Budget'!$C18</f>
        <v>27763834</v>
      </c>
      <c r="C19" s="266">
        <f>'Sources and Uses Budget'!$C18</f>
        <v>27763834</v>
      </c>
      <c r="D19" s="270">
        <f t="shared" si="0"/>
        <v>0</v>
      </c>
      <c r="E19" s="268"/>
      <c r="F19" s="267"/>
    </row>
    <row r="20" spans="1:6" s="352" customFormat="1">
      <c r="A20" s="145" t="s">
        <v>601</v>
      </c>
      <c r="B20" s="266">
        <f>'Sources and Uses Budget'!$C19</f>
        <v>2787176.16</v>
      </c>
      <c r="C20" s="266">
        <f>'Sources and Uses Budget'!$C19</f>
        <v>2787176.16</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1753710.93</v>
      </c>
      <c r="C22" s="266">
        <f>'Sources and Uses Budget'!$C21</f>
        <v>1753710.93</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984236</v>
      </c>
      <c r="C24" s="266">
        <f>'Sources and Uses Budget'!$C23</f>
        <v>984236</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P&amp;P Bond + Gross Tax Receipts</v>
      </c>
      <c r="B26" s="266">
        <f>'Sources and Uses Budget'!$C25</f>
        <v>334182.42000000004</v>
      </c>
      <c r="C26" s="266">
        <f>'Sources and Uses Budget'!$C25</f>
        <v>334182.42000000004</v>
      </c>
      <c r="D26" s="270">
        <f t="shared" si="0"/>
        <v>0</v>
      </c>
      <c r="E26" s="268"/>
      <c r="F26" s="267"/>
    </row>
    <row r="27" spans="1:6" s="352" customFormat="1">
      <c r="A27" s="1018" t="s">
        <v>133</v>
      </c>
      <c r="B27" s="270">
        <f>SUM(B18:B26)</f>
        <v>36827929.509999998</v>
      </c>
      <c r="C27" s="270">
        <f>SUM(C18:C26)</f>
        <v>36827929.509999998</v>
      </c>
      <c r="D27" s="270">
        <f>SUM(D18:D26)</f>
        <v>0</v>
      </c>
      <c r="E27" s="268"/>
      <c r="F27" s="267"/>
    </row>
    <row r="28" spans="1:6" s="352" customFormat="1">
      <c r="A28" s="271" t="s">
        <v>141</v>
      </c>
      <c r="B28" s="266">
        <f>'Sources and Uses Budget'!$C$27</f>
        <v>5880000</v>
      </c>
      <c r="C28" s="266">
        <f>'Sources and Uses Budget'!$C$27</f>
        <v>5880000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905000</v>
      </c>
      <c r="C41" s="266">
        <f>'Sources and Uses Budget'!$C40</f>
        <v>905000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905000</v>
      </c>
      <c r="C43" s="270">
        <f>SUM(C41:C42)</f>
        <v>905000</v>
      </c>
      <c r="D43" s="270">
        <f t="shared" si="0"/>
        <v>0</v>
      </c>
      <c r="E43" s="268"/>
      <c r="F43" s="267"/>
    </row>
    <row r="44" spans="1:6" s="352" customFormat="1">
      <c r="A44" s="271" t="s">
        <v>148</v>
      </c>
      <c r="B44" s="266">
        <f>'Sources and Uses Budget'!$C43</f>
        <v>958000</v>
      </c>
      <c r="C44" s="266">
        <f>'Sources and Uses Budget'!$C43</f>
        <v>958000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4075000</v>
      </c>
      <c r="C46" s="266">
        <f>'Sources and Uses Budget'!$C45</f>
        <v>4075000</v>
      </c>
      <c r="D46" s="270">
        <f t="shared" si="0"/>
        <v>0</v>
      </c>
      <c r="E46" s="268"/>
      <c r="F46" s="267"/>
    </row>
    <row r="47" spans="1:6" s="352" customFormat="1">
      <c r="A47" s="145" t="s">
        <v>151</v>
      </c>
      <c r="B47" s="266">
        <f>'Sources and Uses Budget'!$C46</f>
        <v>865000</v>
      </c>
      <c r="C47" s="266">
        <f>'Sources and Uses Budget'!$C46</f>
        <v>865000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468000</v>
      </c>
      <c r="C50" s="266">
        <f>'Sources and Uses Budget'!$C49</f>
        <v>468000</v>
      </c>
      <c r="D50" s="270">
        <f t="shared" si="0"/>
        <v>0</v>
      </c>
      <c r="E50" s="268"/>
      <c r="F50" s="267"/>
    </row>
    <row r="51" spans="1:6" s="352" customFormat="1">
      <c r="A51" s="145" t="s">
        <v>156</v>
      </c>
      <c r="B51" s="266">
        <f>'Sources and Uses Budget'!$C50</f>
        <v>650000</v>
      </c>
      <c r="C51" s="266">
        <f>'Sources and Uses Budget'!$C50</f>
        <v>650000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1505000</v>
      </c>
      <c r="C53" s="266">
        <f>'Sources and Uses Budget'!$C52</f>
        <v>1505000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7563000</v>
      </c>
      <c r="C55" s="273">
        <f>SUM(C46:C54)</f>
        <v>7563000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272750</v>
      </c>
      <c r="C57" s="266">
        <f>'Sources and Uses Budget'!$C56</f>
        <v>272750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272750</v>
      </c>
      <c r="C63" s="270">
        <f>SUM(C57:C62)</f>
        <v>272750</v>
      </c>
      <c r="D63" s="270">
        <f t="shared" si="0"/>
        <v>0</v>
      </c>
      <c r="E63" s="268"/>
      <c r="F63" s="267"/>
    </row>
    <row r="64" spans="1:6" s="352" customFormat="1">
      <c r="A64" s="274" t="s">
        <v>302</v>
      </c>
      <c r="B64" s="270">
        <f>SUM(B9+B12+B14+B15+B17+B26+B28+B39+B43+B44+B55+B63)</f>
        <v>90912932.420000002</v>
      </c>
      <c r="C64" s="270">
        <f>SUM(C9+C12+C14+C15+C17+C26+C28+C39+C43+C44+C55+C63)</f>
        <v>90912932.420000002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408000</v>
      </c>
      <c r="C66" s="266">
        <f>'Sources and Uses Budget'!$C65</f>
        <v>408000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408000</v>
      </c>
      <c r="C71" s="270">
        <f>SUM(C66:C70)</f>
        <v>408000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3420000</v>
      </c>
      <c r="C76" s="266">
        <f>'Sources and Uses Budget'!$C75</f>
        <v>3420000</v>
      </c>
      <c r="D76" s="270">
        <f t="shared" si="0"/>
        <v>0</v>
      </c>
      <c r="E76" s="268"/>
      <c r="F76" s="267"/>
    </row>
    <row r="77" spans="1:6" s="352" customFormat="1">
      <c r="A77" s="272" t="s">
        <v>34</v>
      </c>
      <c r="B77" s="266">
        <f>'Sources and Uses Budget'!$C76</f>
        <v>2250000</v>
      </c>
      <c r="C77" s="266">
        <f>'Sources and Uses Budget'!$C76</f>
        <v>2250000</v>
      </c>
      <c r="D77" s="270">
        <f t="shared" si="0"/>
        <v>0</v>
      </c>
      <c r="E77" s="268"/>
      <c r="F77" s="267"/>
    </row>
    <row r="78" spans="1:6" s="352" customFormat="1">
      <c r="A78" s="271" t="s">
        <v>607</v>
      </c>
      <c r="B78" s="270">
        <f>SUM(B73:B77)</f>
        <v>5670000</v>
      </c>
      <c r="C78" s="270">
        <f>SUM(C73:C77)</f>
        <v>5670000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7365570.4900000002</v>
      </c>
      <c r="C80" s="266">
        <f>'Sources and Uses Budget'!$C79</f>
        <v>7365570.4900000002</v>
      </c>
      <c r="D80" s="270">
        <f t="shared" si="1"/>
        <v>0</v>
      </c>
      <c r="E80" s="268"/>
      <c r="F80" s="267"/>
    </row>
    <row r="81" spans="1:6" s="352" customFormat="1">
      <c r="A81" s="510" t="s">
        <v>58</v>
      </c>
      <c r="B81" s="266">
        <f>'Sources and Uses Budget'!$C80</f>
        <v>840000</v>
      </c>
      <c r="C81" s="266">
        <f>'Sources and Uses Budget'!$C80</f>
        <v>840000</v>
      </c>
      <c r="D81" s="270">
        <f>C81-B81</f>
        <v>0</v>
      </c>
      <c r="E81" s="268"/>
      <c r="F81" s="267"/>
    </row>
    <row r="82" spans="1:6" s="352" customFormat="1">
      <c r="A82" s="271" t="s">
        <v>1210</v>
      </c>
      <c r="B82" s="270">
        <f>SUM(B80:B81)</f>
        <v>8205570.4900000002</v>
      </c>
      <c r="C82" s="270">
        <f>SUM(C80:C81)</f>
        <v>8205570.4900000002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200000</v>
      </c>
      <c r="C84" s="266">
        <f>'Sources and Uses Budget'!$C83</f>
        <v>200000</v>
      </c>
      <c r="D84" s="270">
        <f t="shared" si="1"/>
        <v>0</v>
      </c>
      <c r="E84" s="268"/>
      <c r="F84" s="267"/>
    </row>
    <row r="85" spans="1:6" s="352" customFormat="1">
      <c r="A85" s="269" t="s">
        <v>768</v>
      </c>
      <c r="B85" s="266">
        <f>'Sources and Uses Budget'!$C84</f>
        <v>25000</v>
      </c>
      <c r="C85" s="266">
        <f>'Sources and Uses Budget'!$C84</f>
        <v>25000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450000</v>
      </c>
      <c r="C87" s="266">
        <f>'Sources and Uses Budget'!$C86</f>
        <v>450000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125000</v>
      </c>
      <c r="C90" s="266">
        <f>'Sources and Uses Budget'!$C89</f>
        <v>125000</v>
      </c>
      <c r="D90" s="270">
        <f t="shared" si="1"/>
        <v>0</v>
      </c>
      <c r="E90" s="268"/>
      <c r="F90" s="267"/>
    </row>
    <row r="91" spans="1:6" s="352" customFormat="1">
      <c r="A91" s="269" t="s">
        <v>774</v>
      </c>
      <c r="B91" s="266">
        <f>'Sources and Uses Budget'!$C90</f>
        <v>4750</v>
      </c>
      <c r="C91" s="266">
        <f>'Sources and Uses Budget'!$C90</f>
        <v>4750</v>
      </c>
      <c r="D91" s="270">
        <f t="shared" si="1"/>
        <v>0</v>
      </c>
      <c r="E91" s="268"/>
      <c r="F91" s="267"/>
    </row>
    <row r="92" spans="1:6" s="352" customFormat="1">
      <c r="A92" s="269" t="s">
        <v>372</v>
      </c>
      <c r="B92" s="266">
        <f>'Sources and Uses Budget'!$C91</f>
        <v>30000</v>
      </c>
      <c r="C92" s="266">
        <f>'Sources and Uses Budget'!$C91</f>
        <v>30000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50000</v>
      </c>
      <c r="C94" s="266">
        <f>'Sources and Uses Budget'!$C93</f>
        <v>50000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115000</v>
      </c>
      <c r="C96" s="266">
        <f>'Sources and Uses Budget'!$C95</f>
        <v>115000</v>
      </c>
      <c r="D96" s="270">
        <f t="shared" si="1"/>
        <v>0</v>
      </c>
      <c r="E96" s="268"/>
      <c r="F96" s="267"/>
    </row>
    <row r="97" spans="1:6" s="352" customFormat="1">
      <c r="A97" s="271" t="s">
        <v>775</v>
      </c>
      <c r="B97" s="270">
        <f>SUM(B84:B96)</f>
        <v>1109750</v>
      </c>
      <c r="C97" s="270">
        <f>SUM(C84:C96)</f>
        <v>1109750</v>
      </c>
      <c r="D97" s="270">
        <f t="shared" si="1"/>
        <v>0</v>
      </c>
      <c r="E97" s="268"/>
      <c r="F97" s="267"/>
    </row>
    <row r="98" spans="1:6" s="352" customFormat="1">
      <c r="A98" s="271" t="s">
        <v>776</v>
      </c>
      <c r="B98" s="270">
        <f>SUM(B64+B71+B78+B82+B97)</f>
        <v>106306252.91</v>
      </c>
      <c r="C98" s="270">
        <f>SUM(C64+C71+C78+C82+C97)</f>
        <v>106306252.91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17500000</v>
      </c>
      <c r="C100" s="266">
        <f>'Sources and Uses Budget'!$C99</f>
        <v>17500000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17500000</v>
      </c>
      <c r="C105" s="270">
        <f>SUM(C100:C104)</f>
        <v>17500000</v>
      </c>
      <c r="D105" s="270">
        <f t="shared" si="1"/>
        <v>0</v>
      </c>
      <c r="E105" s="268"/>
      <c r="F105" s="267"/>
    </row>
    <row r="106" spans="1:6" s="352" customFormat="1">
      <c r="A106" s="271" t="s">
        <v>781</v>
      </c>
      <c r="B106" s="273">
        <f>SUM(B98+B105)</f>
        <v>123806252.91</v>
      </c>
      <c r="C106" s="273">
        <f>SUM(C98+C105)</f>
        <v>123806252.91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71" workbookViewId="0">
      <selection activeCell="D1094" sqref="D1094:F109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2778</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2778</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2779</v>
      </c>
      <c r="D24" s="1283" t="s">
        <v>1092</v>
      </c>
      <c r="E24" s="1283"/>
      <c r="F24" s="1283"/>
      <c r="I24" s="490"/>
    </row>
    <row r="25" spans="1:9" ht="14.25">
      <c r="A25" s="484"/>
      <c r="B25" s="484"/>
      <c r="D25" s="1283"/>
      <c r="E25" s="1283"/>
      <c r="F25" s="1283"/>
      <c r="I25" s="490"/>
    </row>
    <row r="26" spans="1:9">
      <c r="I26" s="490"/>
    </row>
    <row r="27" spans="1:9" ht="14.25">
      <c r="A27" s="484"/>
      <c r="B27" s="485" t="s">
        <v>2778</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2778</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2778</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2779</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2779</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2778</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2778</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2779</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2779</v>
      </c>
      <c r="D65" s="1283" t="s">
        <v>1098</v>
      </c>
      <c r="E65" s="1283"/>
      <c r="F65" s="1283"/>
      <c r="I65" s="490"/>
    </row>
    <row r="66" spans="1:9">
      <c r="D66" s="1283"/>
      <c r="E66" s="1283"/>
      <c r="F66" s="1283"/>
      <c r="I66" s="490"/>
    </row>
    <row r="67" spans="1:9">
      <c r="I67" s="490"/>
    </row>
    <row r="68" spans="1:9" ht="14.25">
      <c r="A68" s="484"/>
      <c r="B68" s="485" t="s">
        <v>2778</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2779</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2778</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2778</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2778</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2778</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2779</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2779</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2779</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2778</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2779</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2778</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2779</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2779</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2778</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2779</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2779</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2779</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2779</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2778</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2779</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2779</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2778</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2778</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2779</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2779</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2778</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2778</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2778</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2779</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2779</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2778</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2778</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2779</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2778</v>
      </c>
      <c r="D305" s="1284" t="s">
        <v>1130</v>
      </c>
      <c r="E305" s="1284"/>
      <c r="F305" s="1284"/>
      <c r="I305" s="490"/>
    </row>
    <row r="306" spans="1:9" ht="14.25">
      <c r="A306" s="484"/>
      <c r="B306" s="484"/>
      <c r="D306" s="494"/>
      <c r="E306" s="495"/>
      <c r="F306" s="495"/>
      <c r="I306" s="490"/>
    </row>
    <row r="307" spans="1:9" ht="13.7" customHeight="1">
      <c r="B307" s="485" t="s">
        <v>2779</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2779</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2778</v>
      </c>
      <c r="D316" s="1284" t="s">
        <v>1132</v>
      </c>
      <c r="E316" s="1284"/>
      <c r="F316" s="1284"/>
      <c r="I316" s="490"/>
    </row>
    <row r="317" spans="1:9">
      <c r="E317" s="446"/>
      <c r="F317" s="446"/>
      <c r="I317" s="490"/>
    </row>
    <row r="318" spans="1:9" ht="14.25">
      <c r="A318" s="484"/>
      <c r="B318" s="485" t="s">
        <v>2778</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2778</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2778</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2779</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2779</v>
      </c>
      <c r="C360" s="476"/>
      <c r="D360" s="1295" t="s">
        <v>2058</v>
      </c>
      <c r="E360" s="1295"/>
      <c r="F360" s="1295"/>
      <c r="I360" s="480"/>
    </row>
    <row r="361" spans="1:9">
      <c r="A361" s="476"/>
      <c r="B361" s="476"/>
      <c r="C361" s="476"/>
      <c r="D361" s="447"/>
      <c r="E361" s="447"/>
      <c r="F361" s="446"/>
      <c r="I361" s="490"/>
    </row>
    <row r="362" spans="1:9">
      <c r="A362" s="476"/>
      <c r="B362" s="485" t="s">
        <v>2779</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2779</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2779</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2779</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2779</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2779</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2779</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2779</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2779</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2779</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2779</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2779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2779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2779</v>
      </c>
      <c r="C486" s="402"/>
      <c r="D486" s="1283"/>
      <c r="E486" s="1283"/>
      <c r="F486" s="1283"/>
      <c r="I486" s="490"/>
    </row>
    <row r="487" spans="1:9">
      <c r="A487" s="402"/>
      <c r="C487" s="402"/>
      <c r="D487" s="1283"/>
      <c r="E487" s="1283"/>
      <c r="F487" s="1283"/>
      <c r="I487" s="490"/>
    </row>
    <row r="488" spans="1:9">
      <c r="A488" s="402"/>
      <c r="B488" s="485" t="s">
        <v>2779</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2779</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2778</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2778</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2778</v>
      </c>
      <c r="D509" s="1284" t="s">
        <v>1144</v>
      </c>
      <c r="E509" s="1284"/>
      <c r="F509" s="1284"/>
      <c r="I509" s="490"/>
    </row>
    <row r="510" spans="1:9" ht="14.25">
      <c r="A510" s="484"/>
      <c r="B510" s="484"/>
      <c r="D510" s="446"/>
      <c r="I510" s="490"/>
    </row>
    <row r="511" spans="1:9" ht="14.25">
      <c r="A511" s="484"/>
      <c r="B511" s="485" t="s">
        <v>2778</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2779</v>
      </c>
      <c r="D514" s="1284" t="s">
        <v>1146</v>
      </c>
      <c r="E514" s="1284"/>
      <c r="F514" s="1284"/>
      <c r="I514" s="490"/>
    </row>
    <row r="515" spans="1:9">
      <c r="D515" s="446"/>
      <c r="E515" s="446"/>
      <c r="F515" s="446"/>
      <c r="I515" s="490"/>
    </row>
    <row r="516" spans="1:9">
      <c r="B516" s="485" t="s">
        <v>2778</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2778</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2778</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2779</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2778</v>
      </c>
      <c r="C548" s="487"/>
      <c r="D548" s="1284" t="s">
        <v>885</v>
      </c>
      <c r="E548" s="1284"/>
      <c r="F548" s="1284"/>
      <c r="I548" s="490"/>
    </row>
    <row r="549" spans="1:9" ht="13.7" customHeight="1">
      <c r="A549" s="487"/>
      <c r="B549" s="487"/>
      <c r="C549" s="487"/>
      <c r="D549" s="446"/>
      <c r="I549" s="490"/>
    </row>
    <row r="550" spans="1:9" ht="14.25">
      <c r="A550" s="484"/>
      <c r="B550" s="485" t="s">
        <v>2778</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2778</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2778</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2778</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2779</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2778</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2778</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2778</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2778</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2778</v>
      </c>
      <c r="D588" s="1287" t="s">
        <v>889</v>
      </c>
      <c r="E588" s="1287"/>
      <c r="F588" s="1287"/>
      <c r="I588" s="490"/>
    </row>
    <row r="589" spans="1:9">
      <c r="A589" s="490"/>
      <c r="B589" s="490"/>
      <c r="D589" s="476"/>
      <c r="I589" s="490"/>
    </row>
    <row r="590" spans="1:9">
      <c r="A590" s="490"/>
      <c r="B590" s="485" t="s">
        <v>2778</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2779</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2778</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2779</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2778</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2778</v>
      </c>
      <c r="D620" s="1308" t="s">
        <v>1112</v>
      </c>
      <c r="E620" s="1308"/>
      <c r="F620" s="1308"/>
      <c r="I620" s="490"/>
    </row>
    <row r="621" spans="1:9">
      <c r="D621" s="1308"/>
      <c r="E621" s="1308"/>
      <c r="F621" s="1308"/>
      <c r="I621" s="490"/>
    </row>
    <row r="622" spans="1:9">
      <c r="I622" s="490"/>
    </row>
    <row r="623" spans="1:9">
      <c r="B623" s="485" t="s">
        <v>2778</v>
      </c>
      <c r="D623" s="1308" t="s">
        <v>1113</v>
      </c>
      <c r="E623" s="1308"/>
      <c r="F623" s="1308"/>
      <c r="I623" s="490"/>
    </row>
    <row r="624" spans="1:9">
      <c r="C624" s="500"/>
      <c r="D624" s="1308"/>
      <c r="E624" s="1308"/>
      <c r="F624" s="1308"/>
      <c r="I624" s="490"/>
    </row>
    <row r="625" spans="1:9">
      <c r="C625" s="500"/>
      <c r="I625" s="490"/>
    </row>
    <row r="626" spans="1:9">
      <c r="B626" s="485" t="s">
        <v>2779</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2778</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2779</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2779</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2779</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2778</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2778</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2778</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2778</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2778</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2779</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2779</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2779</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2779</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2779</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2779</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2779</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2778</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2779</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2778</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2778</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2778</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2778</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2779</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2778</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2779</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2778</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2779</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2779</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2779</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2779</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2778</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2778</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2779</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2779</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2779</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2778</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2778</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2778</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2778</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2778</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2779</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2778</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2778</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2779</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2779</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2779</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2779</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2778</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2778</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2778</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2779</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2778</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2779</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2779</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2778</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2779</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2779</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2779</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2779</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2778</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2778</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2779</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2779</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2779</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2779</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2778</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2779</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2778</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2779</v>
      </c>
      <c r="C1062" s="402"/>
      <c r="D1062" s="402" t="s">
        <v>1813</v>
      </c>
      <c r="I1062" s="490"/>
    </row>
    <row r="1063" spans="1:9">
      <c r="A1063" s="402"/>
      <c r="B1063" s="402"/>
      <c r="C1063" s="402"/>
      <c r="I1063" s="490"/>
    </row>
    <row r="1064" spans="1:9">
      <c r="A1064" s="402"/>
      <c r="B1064" s="485" t="s">
        <v>2779</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2778</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2778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2778</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2779</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2779</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2778</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2779</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2779</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2779</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2779</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8" zoomScaleNormal="100" workbookViewId="0">
      <selection activeCell="AM554" sqref="AM554:AS5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Balance of Los Angeles County</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80</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2512</v>
      </c>
      <c r="BE8" s="1249">
        <f>SUMIF($AC$718:$AC$752,"&lt;=35%",$G$718:G$752)-SUM($BE$5:BE7)</f>
        <v>0</v>
      </c>
    </row>
    <row r="9" spans="1:58" ht="12.95" customHeight="1">
      <c r="A9" s="1837" t="s">
        <v>2078</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2504</v>
      </c>
      <c r="BE9" s="1249">
        <f>SUMIF($AC$718:$AC$752,"&lt;=40%",$G$718:G$752)-SUM($BE$5:BE8)</f>
        <v>10</v>
      </c>
    </row>
    <row r="10" spans="1:58" ht="12.95" customHeight="1">
      <c r="A10" s="1837" t="s">
        <v>2461</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2513</v>
      </c>
      <c r="BE10" s="1249">
        <f>SUMIF($AC$718:$AC$752,"&lt;=45%",$G$718:G$752)-SUM($BE$5:BE9)</f>
        <v>0</v>
      </c>
    </row>
    <row r="11" spans="1:58" ht="12.95" customHeight="1">
      <c r="A11" s="1837" t="s">
        <v>2607</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2505</v>
      </c>
      <c r="BE11" s="1249">
        <f>SUMIF($AC$718:$AC$752,"&lt;=50%",$G$718:G$752)-SUM($BE$5:BE10)</f>
        <v>37</v>
      </c>
    </row>
    <row r="12" spans="1:58" ht="12.95" customHeight="1">
      <c r="A12" s="1838" t="s">
        <v>2612</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27</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7</v>
      </c>
    </row>
    <row r="16" spans="1:58" ht="12.95" customHeight="1">
      <c r="A16" s="57" t="s">
        <v>2080</v>
      </c>
      <c r="C16" s="4"/>
      <c r="D16" s="4"/>
      <c r="E16" s="4"/>
      <c r="F16" s="4"/>
      <c r="G16" s="4"/>
      <c r="H16" s="1842"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Santa Monica Christian Towers</v>
      </c>
    </row>
    <row r="17" spans="1:58" ht="12.95" customHeight="1">
      <c r="BD17" s="1247" t="s">
        <v>2521</v>
      </c>
      <c r="BE17" s="1249">
        <f>Application!AA934</f>
        <v>0</v>
      </c>
    </row>
    <row r="18" spans="1:58" ht="12.95" customHeight="1">
      <c r="A18" s="57" t="s">
        <v>101</v>
      </c>
      <c r="C18" s="4"/>
      <c r="D18" s="4"/>
      <c r="E18" s="4"/>
      <c r="F18" s="4"/>
      <c r="G18" s="4"/>
      <c r="H18" s="1523" t="s">
        <v>2614</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2522</v>
      </c>
      <c r="BE18" s="1249">
        <f>'CalHFA Addendum'!N11</f>
        <v>0</v>
      </c>
    </row>
    <row r="19" spans="1:58" ht="12.95" customHeight="1">
      <c r="BD19" s="1247" t="s">
        <v>2523</v>
      </c>
      <c r="BE19" s="1249">
        <f>Application!M26</f>
        <v>6541813</v>
      </c>
    </row>
    <row r="20" spans="1:58" ht="12.9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2524</v>
      </c>
      <c r="BE20" s="1249">
        <f>Application!M27</f>
        <v>0</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2525</v>
      </c>
      <c r="BE21" s="1249">
        <f>Application!AM554</f>
        <v>80000000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160300000</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7445849</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103245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41">
        <f>'Basis &amp; Credits'!AB56</f>
        <v>6541813</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6" t="s">
        <v>2149</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2530</v>
      </c>
      <c r="BE29" s="1249" t="b">
        <f>Application!M358="Yes"</f>
        <v>1</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2531</v>
      </c>
      <c r="BE31" s="1249"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0" t="s">
        <v>2150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2599</v>
      </c>
      <c r="BE33" s="1249" t="str">
        <f>Application!D220</f>
        <v>Balance of Los Angeles County</v>
      </c>
    </row>
    <row r="34" spans="1:57" ht="12.95" customHeight="1">
      <c r="A34" s="1536" t="s">
        <v>2151</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2533</v>
      </c>
      <c r="BE34" s="1249" t="str">
        <f>Application!I185</f>
        <v>1233 6th Street</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2534</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2535</v>
      </c>
      <c r="BE36" s="1249" t="str">
        <f>Application!I189</f>
        <v>Santa Monica</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2536</v>
      </c>
      <c r="BE37" s="1249" t="str">
        <f>Application!T189</f>
        <v>Los Angeles</v>
      </c>
    </row>
    <row r="38" spans="1:57" ht="12.95" customHeight="1">
      <c r="A38" s="3"/>
      <c r="AZ38" s="20"/>
      <c r="BD38" s="1248" t="s">
        <v>2537</v>
      </c>
      <c r="BE38" s="1249">
        <f>Application!I190</f>
        <v>90401</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163</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161</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0.424223602484472</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0.42422579080395206</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983435.58282208594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SMT TSA Housing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Anthony Yannatta; Sara Dabbs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TSA Housing, Inc.</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RCC MGP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Ken Robertson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 xml:space="preserve">Riverside Charitable Corporation (RCC)																		</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t="str">
        <f>Application!M259</f>
        <v>To-Be-Formed Co-General Partner LLC</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t="str">
        <f>Application!M262</f>
        <v>William T. Dawson</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t="str">
        <f>Application!AA265</f>
        <v>The Santa Monica Christian Towers, Inc.</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TSA Housing,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11811 San Vicente Boulevard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Los Angeles, CA 90049</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Anthony Yannatta; Sara Dabbs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tsaapplications@tsahousing.com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0.87987840679640339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5" t="s">
        <v>2158</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2596</v>
      </c>
      <c r="BE65" s="1249"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2561</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5" t="s">
        <v>2159</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2564</v>
      </c>
      <c r="BE69" s="1249" t="str">
        <f>Application!W700</f>
        <v>California Housing Finance Agency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2565</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20</v>
      </c>
    </row>
    <row r="72" spans="1:57" ht="12.95" customHeight="1">
      <c r="A72" s="1536" t="s">
        <v>2160</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2567</v>
      </c>
      <c r="BE72" s="1249">
        <f>'Points System'!AF805</f>
        <v>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4" t="s">
        <v>2161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2570</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2571</v>
      </c>
      <c r="BE76" s="1249">
        <f>'Points System'!AF811</f>
        <v>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5" t="s">
        <v>2162</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2574</v>
      </c>
      <c r="BE79" s="1249">
        <f>'Points System'!AF815</f>
        <v>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2575</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1.0715946593953765</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Santa Monica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Elaine Polacheck</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1685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Santa Monica</v>
      </c>
    </row>
    <row r="89" spans="1:57" ht="12.95" customHeight="1">
      <c r="A89" s="1554" t="s">
        <v>2165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2584</v>
      </c>
      <c r="BE89" s="1249">
        <f>Application!O158</f>
        <v>90401</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2585</v>
      </c>
      <c r="BE90" s="1249" t="str">
        <f>Application!H16</f>
        <v>Santa Monica Towers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11811 San Vicente Boulevard</v>
      </c>
    </row>
    <row r="92" spans="1:57" ht="12.95" customHeight="1">
      <c r="A92" s="1544" t="s">
        <v>2166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2587</v>
      </c>
      <c r="BE92" s="1249" t="str">
        <f>Application!M234</f>
        <v>Los Angeles</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2588</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2589</v>
      </c>
      <c r="BE94" s="1249">
        <f>Application!AC234</f>
        <v>90049</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2590</v>
      </c>
      <c r="BE95" s="1249" t="str">
        <f>Application!M235</f>
        <v>Anthony Yannatta; Sara Dabbs</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2591</v>
      </c>
      <c r="BE96" s="1249" t="str">
        <f>Application!M237</f>
        <v>tsaapplications@tsahousing.com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2592</v>
      </c>
      <c r="BE97" s="1249" t="str">
        <f>Application!M248</f>
        <v>tsaapplications@tsahousing.com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2593</v>
      </c>
      <c r="BE98" s="1249" t="str">
        <f>Application!M256</f>
        <v>ksr@riversidecharitable.org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t="str">
        <f>Application!M264</f>
        <v>bill@sdrsm.com</v>
      </c>
    </row>
    <row r="100" spans="1:57" ht="12.95" customHeight="1">
      <c r="A100" s="1555" t="s">
        <v>2167</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2595</v>
      </c>
      <c r="BE100" s="1249" t="str">
        <f>Application!L279</f>
        <v>tsaapplications@tsahousing.com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2600</v>
      </c>
      <c r="BE101">
        <f>'Sources and Uses Budget'!C105</f>
        <v>160300000</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2601</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2168</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c r="H113" s="1548"/>
      <c r="I113" s="3" t="s">
        <v>182</v>
      </c>
      <c r="L113" s="1548"/>
      <c r="M113" s="1548"/>
      <c r="N113" s="1548"/>
      <c r="O113" s="1548"/>
      <c r="P113" s="1562" t="s">
        <v>2242</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2615</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Los Angeles</v>
      </c>
      <c r="DH122" s="1692"/>
      <c r="DI122" s="1692"/>
      <c r="DJ122" s="1692"/>
      <c r="DK122" s="1692"/>
      <c r="DL122" s="1692"/>
      <c r="DM122" s="1693"/>
    </row>
    <row r="123" spans="1:117" ht="12.95" customHeight="1">
      <c r="A123" s="3"/>
      <c r="B123" s="3"/>
      <c r="T123" s="3"/>
      <c r="U123" s="3"/>
      <c r="V123" s="3"/>
      <c r="W123" s="3"/>
      <c r="X123" s="3"/>
      <c r="Y123" s="1548" t="s">
        <v>2616</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6" t="s">
        <v>2617</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31" t="s">
        <v>2618</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2620</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90401</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2621</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3"/>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2622</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0" t="s">
        <v>2218</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10">
        <v>25</v>
      </c>
      <c r="V176" s="1510"/>
      <c r="W176" s="1" t="s">
        <v>306</v>
      </c>
      <c r="X176" s="1566">
        <v>435</v>
      </c>
      <c r="Y176" s="1566"/>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5"/>
      <c r="AG178" s="1565"/>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Santa Monica Christian Towers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2623</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3" t="s">
        <v>2620</v>
      </c>
      <c r="J189" s="1407"/>
      <c r="K189" s="1407"/>
      <c r="L189" s="1407"/>
      <c r="M189" s="1407"/>
      <c r="N189" s="1407"/>
      <c r="O189" s="1407"/>
      <c r="P189" s="1407"/>
      <c r="Q189" t="s">
        <v>583</v>
      </c>
      <c r="T189" s="1407" t="s">
        <v>495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90401</v>
      </c>
      <c r="J190" s="1371"/>
      <c r="K190" s="1371"/>
      <c r="L190" s="1371"/>
      <c r="M190" s="1371"/>
      <c r="N190" s="1371"/>
      <c r="O190" t="s">
        <v>586</v>
      </c>
      <c r="T190" s="1556">
        <v>7019.02</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9" t="s">
        <v>2624</v>
      </c>
      <c r="O191" s="1529"/>
      <c r="P191" s="1529"/>
      <c r="Q191" s="1529"/>
      <c r="R191" s="1529"/>
      <c r="S191" s="1529"/>
      <c r="T191" s="1529"/>
      <c r="U191" s="1529"/>
      <c r="V191" s="1529"/>
      <c r="W191" s="1529"/>
      <c r="X191" s="1529"/>
      <c r="Y191" s="1529"/>
      <c r="Z191" s="1529"/>
      <c r="AA191" s="1529"/>
      <c r="AB191" s="1529"/>
      <c r="AC191" s="1529"/>
      <c r="AD191" s="1529"/>
      <c r="AE191" s="152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60" t="s">
        <v>1939</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36</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51</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24</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t="s">
        <v>592</v>
      </c>
      <c r="U198" s="1427"/>
      <c r="V198"/>
      <c r="X198" s="1536" t="s">
        <v>2516</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1">
        <f>M26</f>
        <v>6541813</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8" t="s">
        <v>1248</v>
      </c>
      <c r="E205" s="1483"/>
      <c r="F205" s="1483"/>
      <c r="G205" s="1483"/>
      <c r="H205" s="1483"/>
      <c r="I205" s="1483"/>
      <c r="J205" s="1483"/>
      <c r="K205" s="1483"/>
      <c r="L205" s="1483"/>
      <c r="M205" s="1483"/>
      <c r="P205" s="1552">
        <f>M27</f>
        <v>0</v>
      </c>
      <c r="Q205" s="1552"/>
      <c r="R205" s="1552"/>
      <c r="S205" s="1552"/>
      <c r="T205" s="1552"/>
      <c r="U205" s="1552"/>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6" t="s">
        <v>2625</v>
      </c>
      <c r="E208" s="1526"/>
      <c r="F208" s="1526"/>
      <c r="G208" s="1526"/>
      <c r="H208" s="1526"/>
      <c r="I208" s="1526"/>
      <c r="J208" s="1526"/>
      <c r="K208" s="1526"/>
      <c r="L208" s="1526"/>
      <c r="M208" s="1526"/>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1043</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v>0</v>
      </c>
      <c r="R212" s="1415"/>
      <c r="T212" s="1563">
        <f>IFERROR(Q212/AG440,0)</f>
        <v>0</v>
      </c>
      <c r="U212" s="156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47">
        <v>46682</v>
      </c>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6" t="s">
        <v>875</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875</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7" t="str">
        <f>H16</f>
        <v>Santa Monica Towers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2.95" customHeight="1">
      <c r="D233" s="4" t="s">
        <v>85</v>
      </c>
      <c r="E233" s="4"/>
      <c r="F233" s="4"/>
      <c r="G233" s="4"/>
      <c r="H233" s="4"/>
      <c r="I233" s="4"/>
      <c r="J233" s="4"/>
      <c r="K233" s="4"/>
      <c r="M233" s="1526" t="s">
        <v>2626</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2.95" customHeight="1">
      <c r="D234" s="4" t="s">
        <v>581</v>
      </c>
      <c r="E234" s="4"/>
      <c r="M234" s="1526" t="s">
        <v>495</v>
      </c>
      <c r="N234" s="1526"/>
      <c r="O234" s="1526"/>
      <c r="P234" s="1526"/>
      <c r="Q234" s="1526"/>
      <c r="R234" s="1526"/>
      <c r="S234" s="1526"/>
      <c r="T234" s="1526"/>
      <c r="V234" s="33" t="s">
        <v>86</v>
      </c>
      <c r="W234" s="1471" t="s">
        <v>2627</v>
      </c>
      <c r="X234" s="1471"/>
      <c r="Y234" s="4" t="s">
        <v>584</v>
      </c>
      <c r="AC234" s="1526">
        <v>90049</v>
      </c>
      <c r="AD234" s="1526"/>
      <c r="AE234" s="1526"/>
      <c r="AU234" s="4"/>
      <c r="AV234" s="4"/>
      <c r="AW234" s="4"/>
      <c r="AX234" s="4"/>
      <c r="AY234" s="4"/>
      <c r="AZ234" s="4"/>
      <c r="BB234" s="205" t="s">
        <v>539</v>
      </c>
      <c r="BG234" s="240">
        <f>IF(AND(AND($M$249="for profit",$M$257="nonprofit",$M$265="nonprofit")),2,0)</f>
        <v>2</v>
      </c>
    </row>
    <row r="235" spans="1:59" ht="12.95" customHeight="1">
      <c r="D235" s="4" t="s">
        <v>87</v>
      </c>
      <c r="E235" s="4"/>
      <c r="F235" s="4"/>
      <c r="G235" s="4"/>
      <c r="H235" s="4"/>
      <c r="I235" s="4"/>
      <c r="J235" s="4"/>
      <c r="K235" s="19"/>
      <c r="M235" s="1526" t="s">
        <v>2628</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2629</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40" t="s">
        <v>2630</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1" t="s">
        <v>2631</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2" t="s">
        <v>2632</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2633</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6" t="s">
        <v>2626</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6" t="s">
        <v>495</v>
      </c>
      <c r="N245" s="1526"/>
      <c r="O245" s="1526"/>
      <c r="P245" s="1526"/>
      <c r="Q245" s="1526"/>
      <c r="R245" s="1526"/>
      <c r="S245" s="1526"/>
      <c r="T245" s="1526"/>
      <c r="V245" s="33" t="s">
        <v>86</v>
      </c>
      <c r="W245" s="1471" t="s">
        <v>2627</v>
      </c>
      <c r="X245" s="1471"/>
      <c r="Y245" s="4" t="s">
        <v>584</v>
      </c>
      <c r="AC245" s="1526">
        <v>90049</v>
      </c>
      <c r="AD245" s="1526"/>
      <c r="AE245" s="1526"/>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6" t="s">
        <v>2628</v>
      </c>
      <c r="N246" s="1526"/>
      <c r="O246" s="1526"/>
      <c r="P246" s="1526"/>
      <c r="Q246" s="1526"/>
      <c r="R246" s="1526"/>
      <c r="S246" s="1526"/>
      <c r="T246" s="1526"/>
      <c r="U246" s="1526"/>
      <c r="V246" s="1526"/>
      <c r="W246" s="1526"/>
      <c r="X246" s="1526"/>
      <c r="Y246" s="1526"/>
      <c r="Z246" s="1526"/>
      <c r="AA246" s="1526"/>
      <c r="AB246" s="1526"/>
      <c r="AC246" s="1526"/>
      <c r="AD246" s="1526"/>
      <c r="AE246" s="1526"/>
      <c r="AH246" s="1539">
        <v>5.0000000000000001E-3</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
        <v>2629</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
        <v>2630</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1" t="s">
        <v>2631</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2" t="s">
        <v>2634</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2635</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2636</v>
      </c>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2.95" customHeight="1">
      <c r="A253" s="19"/>
      <c r="B253" s="4"/>
      <c r="C253" s="4"/>
      <c r="D253" s="4" t="s">
        <v>581</v>
      </c>
      <c r="E253" s="4"/>
      <c r="M253" s="1526" t="s">
        <v>2637</v>
      </c>
      <c r="N253" s="1526"/>
      <c r="O253" s="1526"/>
      <c r="P253" s="1526"/>
      <c r="Q253" s="1526"/>
      <c r="R253" s="1526"/>
      <c r="S253" s="1526"/>
      <c r="T253" s="1526"/>
      <c r="V253" s="33" t="s">
        <v>86</v>
      </c>
      <c r="W253" s="1471" t="s">
        <v>2627</v>
      </c>
      <c r="X253" s="1471"/>
      <c r="Y253" s="4" t="s">
        <v>584</v>
      </c>
      <c r="AC253" s="1526">
        <v>92780</v>
      </c>
      <c r="AD253" s="1526"/>
      <c r="AE253" s="152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2638</v>
      </c>
      <c r="N254" s="1526"/>
      <c r="O254" s="1526"/>
      <c r="P254" s="1526"/>
      <c r="Q254" s="1526"/>
      <c r="R254" s="1526"/>
      <c r="S254" s="1526"/>
      <c r="T254" s="1526"/>
      <c r="U254" s="1526"/>
      <c r="V254" s="1526"/>
      <c r="W254" s="1526"/>
      <c r="X254" s="1526"/>
      <c r="Y254" s="1526"/>
      <c r="Z254" s="1526"/>
      <c r="AA254" s="1526"/>
      <c r="AB254" s="1526"/>
      <c r="AC254" s="1526"/>
      <c r="AD254" s="1526"/>
      <c r="AE254" s="1526"/>
      <c r="AH254" s="1539">
        <v>9.9999999999999995E-7</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7" t="s">
        <v>2639</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t="s">
        <v>2640</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1" t="s">
        <v>2641</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t="s">
        <v>2642</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2633</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t="s">
        <v>2623</v>
      </c>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6" t="s">
        <v>2620</v>
      </c>
      <c r="N261" s="1526"/>
      <c r="O261" s="1526"/>
      <c r="P261" s="1526"/>
      <c r="Q261" s="1526"/>
      <c r="R261" s="1526"/>
      <c r="S261" s="1526"/>
      <c r="T261" s="1526"/>
      <c r="V261" s="33" t="s">
        <v>86</v>
      </c>
      <c r="W261" s="1471" t="s">
        <v>2627</v>
      </c>
      <c r="X261" s="1471"/>
      <c r="Y261" s="4" t="s">
        <v>584</v>
      </c>
      <c r="AC261" s="1526">
        <v>90401</v>
      </c>
      <c r="AD261" s="1526"/>
      <c r="AE261" s="152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t="s">
        <v>2643</v>
      </c>
      <c r="N262" s="1526"/>
      <c r="O262" s="1526"/>
      <c r="P262" s="1526"/>
      <c r="Q262" s="1526"/>
      <c r="R262" s="1526"/>
      <c r="S262" s="1526"/>
      <c r="T262" s="1526"/>
      <c r="U262" s="1526"/>
      <c r="V262" s="1526"/>
      <c r="W262" s="1526"/>
      <c r="X262" s="1526"/>
      <c r="Y262" s="1526"/>
      <c r="Z262" s="1526"/>
      <c r="AA262" s="1526"/>
      <c r="AB262" s="1526"/>
      <c r="AC262" s="1526"/>
      <c r="AD262" s="1526"/>
      <c r="AE262" s="1526"/>
      <c r="AH262" s="1539">
        <v>4.8999999999999998E-5</v>
      </c>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74" t="s">
        <v>2644</v>
      </c>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t="s">
        <v>2645</v>
      </c>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535</v>
      </c>
      <c r="N265" s="1371"/>
      <c r="O265" s="1371"/>
      <c r="P265" s="1371"/>
      <c r="Q265" s="1371"/>
      <c r="R265" s="1371"/>
      <c r="S265" s="1371"/>
      <c r="T265" s="1371"/>
      <c r="U265" s="204" t="s">
        <v>907</v>
      </c>
      <c r="V265" s="204"/>
      <c r="W265" s="204"/>
      <c r="X265" s="204"/>
      <c r="Y265" s="204"/>
      <c r="Z265" s="204"/>
      <c r="AA265" s="1575" t="s">
        <v>2646</v>
      </c>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6" t="s">
        <v>280</v>
      </c>
      <c r="E270" s="1526"/>
      <c r="F270" s="1526"/>
      <c r="G270" s="1526"/>
      <c r="H270" s="1526"/>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2" t="s">
        <v>2631</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
        <v>2626</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581</v>
      </c>
      <c r="E276" s="4"/>
      <c r="L276" s="1526" t="s">
        <v>495</v>
      </c>
      <c r="M276" s="1526"/>
      <c r="N276" s="1526"/>
      <c r="O276" s="1526"/>
      <c r="P276" s="1526"/>
      <c r="Q276" s="1526"/>
      <c r="R276" s="1526"/>
      <c r="S276" s="1526"/>
      <c r="U276" s="33" t="s">
        <v>86</v>
      </c>
      <c r="V276" s="1471" t="s">
        <v>2627</v>
      </c>
      <c r="W276" s="1471"/>
      <c r="X276" s="4" t="s">
        <v>584</v>
      </c>
      <c r="AB276" s="1526">
        <v>90049</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
        <v>2647</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7">
        <v>3108204888</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0" t="s">
        <v>2630</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1" t="s">
        <v>2648</v>
      </c>
      <c r="M280" s="1531"/>
      <c r="N280" s="1531"/>
      <c r="O280" s="1531"/>
      <c r="P280" s="1531"/>
      <c r="Q280" s="1531"/>
      <c r="R280" s="1531"/>
      <c r="S280" s="1531"/>
      <c r="T280" s="1531"/>
      <c r="U280" s="1531"/>
      <c r="V280" s="1531"/>
      <c r="W280" s="1531"/>
      <c r="X280" s="1531"/>
      <c r="Y280" s="1531"/>
      <c r="Z280" s="1531"/>
      <c r="AA280" s="1531"/>
      <c r="AB280" s="1531"/>
      <c r="AC280" s="1531"/>
      <c r="AD280" s="1531"/>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2631</v>
      </c>
      <c r="I287" s="1407"/>
      <c r="J287" s="1407"/>
      <c r="K287" s="1407"/>
      <c r="L287" s="1407"/>
      <c r="M287" s="1407"/>
      <c r="N287" s="1407"/>
      <c r="O287" s="1407"/>
      <c r="P287" s="1407"/>
      <c r="Q287" s="1407"/>
      <c r="R287" s="1407"/>
      <c r="T287" s="3" t="s">
        <v>568</v>
      </c>
      <c r="V287" s="3"/>
      <c r="W287" s="3"/>
      <c r="X287" s="3"/>
      <c r="Y287" s="3"/>
      <c r="AA287" s="1407" t="s">
        <v>2666</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2626</v>
      </c>
      <c r="I288" s="1371"/>
      <c r="J288" s="1371"/>
      <c r="K288" s="1371"/>
      <c r="L288" s="1371"/>
      <c r="M288" s="1371"/>
      <c r="N288" s="1371"/>
      <c r="O288" s="1371"/>
      <c r="P288" s="1371"/>
      <c r="Q288" s="1371"/>
      <c r="R288" s="1371"/>
      <c r="T288" s="3" t="s">
        <v>472</v>
      </c>
      <c r="V288" s="3"/>
      <c r="W288" s="3"/>
      <c r="X288" s="3"/>
      <c r="Y288" s="3"/>
      <c r="AA288" s="1371" t="s">
        <v>2667</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2649</v>
      </c>
      <c r="I289" s="1371"/>
      <c r="J289" s="1371"/>
      <c r="K289" s="1371"/>
      <c r="L289" s="1371"/>
      <c r="M289" s="1371"/>
      <c r="N289" s="1371"/>
      <c r="O289" s="1371"/>
      <c r="P289" s="1371"/>
      <c r="Q289" s="1371"/>
      <c r="R289" s="1371"/>
      <c r="T289" s="3" t="s">
        <v>75</v>
      </c>
      <c r="V289" s="3"/>
      <c r="W289" s="3"/>
      <c r="X289" s="3"/>
      <c r="Y289" s="3"/>
      <c r="AA289" s="1371" t="s">
        <v>2668</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2628</v>
      </c>
      <c r="I290" s="1371"/>
      <c r="J290" s="1371"/>
      <c r="K290" s="1371"/>
      <c r="L290" s="1371"/>
      <c r="M290" s="1371"/>
      <c r="N290" s="1371"/>
      <c r="O290" s="1371"/>
      <c r="P290" s="1371"/>
      <c r="Q290" s="1371"/>
      <c r="R290" s="1371"/>
      <c r="T290" s="3" t="s">
        <v>87</v>
      </c>
      <c r="V290" s="3"/>
      <c r="W290" s="3"/>
      <c r="X290" s="3"/>
      <c r="Y290" s="3"/>
      <c r="AA290" s="1371" t="s">
        <v>2669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3">
        <v>3108204888</v>
      </c>
      <c r="I291" s="1543"/>
      <c r="J291" s="1543"/>
      <c r="K291" s="1543"/>
      <c r="L291" s="1543"/>
      <c r="M291" s="1543"/>
      <c r="N291" s="4" t="s">
        <v>206</v>
      </c>
      <c r="O291" s="4"/>
      <c r="P291" s="1526"/>
      <c r="Q291" s="1526"/>
      <c r="R291" s="1526"/>
      <c r="S291" s="3"/>
      <c r="T291" s="3" t="s">
        <v>88</v>
      </c>
      <c r="V291" s="3"/>
      <c r="W291" s="3"/>
      <c r="X291" s="3"/>
      <c r="Y291" s="3"/>
      <c r="AA291" s="1543" t="s">
        <v>2670</v>
      </c>
      <c r="AB291" s="1543"/>
      <c r="AC291" s="1543"/>
      <c r="AD291" s="1543"/>
      <c r="AE291" s="1543"/>
      <c r="AF291" s="1543"/>
      <c r="AG291" s="4" t="s">
        <v>206</v>
      </c>
      <c r="AH291" s="4"/>
      <c r="AI291" s="1526">
        <v>265</v>
      </c>
      <c r="AJ291" s="1526"/>
      <c r="AK291" s="1526"/>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2630</v>
      </c>
      <c r="I293" s="1371"/>
      <c r="J293" s="1371"/>
      <c r="K293" s="1371"/>
      <c r="L293" s="1371"/>
      <c r="M293" s="1371"/>
      <c r="N293" s="1407"/>
      <c r="O293" s="1407"/>
      <c r="P293" s="1407"/>
      <c r="Q293" s="1407"/>
      <c r="R293" s="1407"/>
      <c r="S293" s="3"/>
      <c r="T293" s="3" t="s">
        <v>76</v>
      </c>
      <c r="V293" s="3"/>
      <c r="W293" s="3"/>
      <c r="X293" s="3"/>
      <c r="Y293" s="3"/>
      <c r="AA293" s="1371" t="s">
        <v>2671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2650</v>
      </c>
      <c r="I295" s="1407"/>
      <c r="J295" s="1407"/>
      <c r="K295" s="1407"/>
      <c r="L295" s="1407"/>
      <c r="M295" s="1407"/>
      <c r="N295" s="1407"/>
      <c r="O295" s="1407"/>
      <c r="P295" s="1407"/>
      <c r="Q295" s="1407"/>
      <c r="R295" s="1407"/>
      <c r="T295" s="3" t="s">
        <v>364</v>
      </c>
      <c r="V295" s="3"/>
      <c r="W295" s="3"/>
      <c r="X295" s="3"/>
      <c r="Y295" s="3"/>
      <c r="AA295" s="1407" t="s">
        <v>2672</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2651</v>
      </c>
      <c r="I296" s="1371"/>
      <c r="J296" s="1371"/>
      <c r="K296" s="1371"/>
      <c r="L296" s="1371"/>
      <c r="M296" s="1371"/>
      <c r="N296" s="1371"/>
      <c r="O296" s="1371"/>
      <c r="P296" s="1371"/>
      <c r="Q296" s="1371"/>
      <c r="R296" s="1371"/>
      <c r="T296" s="3" t="s">
        <v>472</v>
      </c>
      <c r="V296" s="3"/>
      <c r="W296" s="3"/>
      <c r="X296" s="3"/>
      <c r="Y296" s="3"/>
      <c r="AA296" s="1371" t="s">
        <v>2673</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2652</v>
      </c>
      <c r="I297" s="1371"/>
      <c r="J297" s="1371"/>
      <c r="K297" s="1371"/>
      <c r="L297" s="1371"/>
      <c r="M297" s="1371"/>
      <c r="N297" s="1371"/>
      <c r="O297" s="1371"/>
      <c r="P297" s="1371"/>
      <c r="Q297" s="1371"/>
      <c r="R297" s="1371"/>
      <c r="T297" s="3" t="s">
        <v>75</v>
      </c>
      <c r="V297" s="3"/>
      <c r="W297" s="3"/>
      <c r="X297" s="3"/>
      <c r="Y297" s="3"/>
      <c r="AA297" s="1371" t="s">
        <v>2674</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2653</v>
      </c>
      <c r="I298" s="1371"/>
      <c r="J298" s="1371"/>
      <c r="K298" s="1371"/>
      <c r="L298" s="1371"/>
      <c r="M298" s="1371"/>
      <c r="N298" s="1371"/>
      <c r="O298" s="1371"/>
      <c r="P298" s="1371"/>
      <c r="Q298" s="1371"/>
      <c r="R298" s="1371"/>
      <c r="T298" s="3" t="s">
        <v>87</v>
      </c>
      <c r="V298" s="3"/>
      <c r="W298" s="3"/>
      <c r="X298" s="3"/>
      <c r="Y298" s="3"/>
      <c r="AA298" s="1371" t="s">
        <v>2675</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c r="I299" s="1543"/>
      <c r="J299" s="1543"/>
      <c r="K299" s="1543"/>
      <c r="L299" s="1543"/>
      <c r="M299" s="1543"/>
      <c r="N299" s="4" t="s">
        <v>206</v>
      </c>
      <c r="O299" s="4"/>
      <c r="P299" s="1526"/>
      <c r="Q299" s="1526"/>
      <c r="R299" s="1526"/>
      <c r="S299" s="3"/>
      <c r="T299" s="3" t="s">
        <v>88</v>
      </c>
      <c r="V299" s="3"/>
      <c r="W299" s="3"/>
      <c r="X299" s="3"/>
      <c r="Y299" s="3"/>
      <c r="AA299" s="1543" t="s">
        <v>2676</v>
      </c>
      <c r="AB299" s="1543"/>
      <c r="AC299" s="1543"/>
      <c r="AD299" s="1543"/>
      <c r="AE299" s="1543"/>
      <c r="AF299" s="1543"/>
      <c r="AG299" s="4" t="s">
        <v>206</v>
      </c>
      <c r="AH299" s="4"/>
      <c r="AI299" s="1526"/>
      <c r="AJ299" s="1526"/>
      <c r="AK299" s="1526"/>
    </row>
    <row r="300" spans="2:37" ht="12.95" customHeight="1">
      <c r="B300" s="3" t="s">
        <v>89</v>
      </c>
      <c r="C300" s="3"/>
      <c r="D300" s="3"/>
      <c r="E300" s="3"/>
      <c r="F300" s="3"/>
      <c r="G300" s="3"/>
      <c r="H300" s="1487" t="s">
        <v>2654</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2655</v>
      </c>
      <c r="I301" s="1371"/>
      <c r="J301" s="1371"/>
      <c r="K301" s="1371"/>
      <c r="L301" s="1371"/>
      <c r="M301" s="1371"/>
      <c r="N301" s="1407"/>
      <c r="O301" s="1407"/>
      <c r="P301" s="1407"/>
      <c r="Q301" s="1407"/>
      <c r="R301" s="1407"/>
      <c r="S301" s="3"/>
      <c r="T301" s="3" t="s">
        <v>76</v>
      </c>
      <c r="V301" s="3"/>
      <c r="W301" s="3"/>
      <c r="X301" s="3"/>
      <c r="Y301" s="3"/>
      <c r="AA301" s="1371" t="s">
        <v>2677</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2650</v>
      </c>
      <c r="I303" s="1407"/>
      <c r="J303" s="1407"/>
      <c r="K303" s="1407"/>
      <c r="L303" s="1407"/>
      <c r="M303" s="1407"/>
      <c r="N303" s="1407"/>
      <c r="O303" s="1407"/>
      <c r="P303" s="1407"/>
      <c r="Q303" s="1407"/>
      <c r="R303" s="1407"/>
      <c r="T303" s="4" t="s">
        <v>879</v>
      </c>
      <c r="V303" s="3"/>
      <c r="W303" s="3"/>
      <c r="X303" s="3"/>
      <c r="Y303" s="3"/>
      <c r="AA303" s="1407" t="s">
        <v>2678</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2651</v>
      </c>
      <c r="I304" s="1371"/>
      <c r="J304" s="1371"/>
      <c r="K304" s="1371"/>
      <c r="L304" s="1371"/>
      <c r="M304" s="1371"/>
      <c r="N304" s="1371"/>
      <c r="O304" s="1371"/>
      <c r="P304" s="1371"/>
      <c r="Q304" s="1371"/>
      <c r="R304" s="1371"/>
      <c r="T304" s="3" t="s">
        <v>472</v>
      </c>
      <c r="V304" s="3"/>
      <c r="W304" s="3"/>
      <c r="X304" s="3"/>
      <c r="Y304" s="3"/>
      <c r="AA304" s="1371" t="s">
        <v>2679</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2652</v>
      </c>
      <c r="I305" s="1371"/>
      <c r="J305" s="1371"/>
      <c r="K305" s="1371"/>
      <c r="L305" s="1371"/>
      <c r="M305" s="1371"/>
      <c r="N305" s="1371"/>
      <c r="O305" s="1371"/>
      <c r="P305" s="1371"/>
      <c r="Q305" s="1371"/>
      <c r="R305" s="1371"/>
      <c r="T305" s="3" t="s">
        <v>75</v>
      </c>
      <c r="V305" s="3"/>
      <c r="W305" s="3"/>
      <c r="X305" s="3"/>
      <c r="Y305" s="3"/>
      <c r="AA305" s="1371" t="s">
        <v>2680</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2656</v>
      </c>
      <c r="I306" s="1371"/>
      <c r="J306" s="1371"/>
      <c r="K306" s="1371"/>
      <c r="L306" s="1371"/>
      <c r="M306" s="1371"/>
      <c r="N306" s="1371"/>
      <c r="O306" s="1371"/>
      <c r="P306" s="1371"/>
      <c r="Q306" s="1371"/>
      <c r="R306" s="1371"/>
      <c r="T306" s="3" t="s">
        <v>87</v>
      </c>
      <c r="V306" s="3"/>
      <c r="W306" s="3"/>
      <c r="X306" s="3"/>
      <c r="Y306" s="3"/>
      <c r="AA306" s="1371" t="s">
        <v>2681</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t="s">
        <v>2657</v>
      </c>
      <c r="I307" s="1543"/>
      <c r="J307" s="1543"/>
      <c r="K307" s="1543"/>
      <c r="L307" s="1543"/>
      <c r="M307" s="1543"/>
      <c r="N307" s="4" t="s">
        <v>206</v>
      </c>
      <c r="O307" s="4"/>
      <c r="P307" s="1526"/>
      <c r="Q307" s="1526"/>
      <c r="R307" s="1526"/>
      <c r="S307" s="3"/>
      <c r="T307" s="3" t="s">
        <v>88</v>
      </c>
      <c r="V307" s="3"/>
      <c r="W307" s="3"/>
      <c r="X307" s="3"/>
      <c r="Y307" s="3"/>
      <c r="AA307" s="1543" t="s">
        <v>2682</v>
      </c>
      <c r="AB307" s="1543"/>
      <c r="AC307" s="1543"/>
      <c r="AD307" s="1543"/>
      <c r="AE307" s="1543"/>
      <c r="AF307" s="1543"/>
      <c r="AG307" s="4" t="s">
        <v>206</v>
      </c>
      <c r="AH307" s="4"/>
      <c r="AI307" s="1526"/>
      <c r="AJ307" s="1526"/>
      <c r="AK307" s="1526"/>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2658</v>
      </c>
      <c r="I309" s="1371"/>
      <c r="J309" s="1371"/>
      <c r="K309" s="1371"/>
      <c r="L309" s="1371"/>
      <c r="M309" s="1371"/>
      <c r="N309" s="1407"/>
      <c r="O309" s="1407"/>
      <c r="P309" s="1407"/>
      <c r="Q309" s="1407"/>
      <c r="R309" s="1407"/>
      <c r="S309" s="3"/>
      <c r="T309" s="3" t="s">
        <v>76</v>
      </c>
      <c r="V309" s="3"/>
      <c r="W309" s="3"/>
      <c r="X309" s="3"/>
      <c r="Y309" s="3"/>
      <c r="AA309" s="1371" t="s">
        <v>2683</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2659</v>
      </c>
      <c r="I311" s="1407"/>
      <c r="J311" s="1407"/>
      <c r="K311" s="1407"/>
      <c r="L311" s="1407"/>
      <c r="M311" s="1407"/>
      <c r="N311" s="1407"/>
      <c r="O311" s="1407"/>
      <c r="P311" s="1407"/>
      <c r="Q311" s="1407"/>
      <c r="R311" s="1407"/>
      <c r="S311" s="3"/>
      <c r="T311" s="3" t="s">
        <v>365</v>
      </c>
      <c r="V311" s="3"/>
      <c r="W311" s="3"/>
      <c r="X311" s="3"/>
      <c r="Y311" s="3"/>
      <c r="AA311" s="1407" t="s">
        <v>2684</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2660</v>
      </c>
      <c r="I312" s="1371"/>
      <c r="J312" s="1371"/>
      <c r="K312" s="1371"/>
      <c r="L312" s="1371"/>
      <c r="M312" s="1371"/>
      <c r="N312" s="1371"/>
      <c r="O312" s="1371"/>
      <c r="P312" s="1371"/>
      <c r="Q312" s="1371"/>
      <c r="R312" s="1371"/>
      <c r="S312" s="3"/>
      <c r="T312" s="3" t="s">
        <v>472</v>
      </c>
      <c r="V312" s="3"/>
      <c r="W312" s="3"/>
      <c r="X312" s="3"/>
      <c r="Y312" s="3"/>
      <c r="AA312" s="1371" t="s">
        <v>2685</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2661</v>
      </c>
      <c r="I313" s="1371"/>
      <c r="J313" s="1371"/>
      <c r="K313" s="1371"/>
      <c r="L313" s="1371"/>
      <c r="M313" s="1371"/>
      <c r="N313" s="1371"/>
      <c r="O313" s="1371"/>
      <c r="P313" s="1371"/>
      <c r="Q313" s="1371"/>
      <c r="R313" s="1371"/>
      <c r="S313" s="3"/>
      <c r="T313" s="3" t="s">
        <v>75</v>
      </c>
      <c r="V313" s="3"/>
      <c r="W313" s="3"/>
      <c r="X313" s="3"/>
      <c r="Y313" s="3"/>
      <c r="AA313" s="1371" t="s">
        <v>2652</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2662</v>
      </c>
      <c r="I314" s="1371"/>
      <c r="J314" s="1371"/>
      <c r="K314" s="1371"/>
      <c r="L314" s="1371"/>
      <c r="M314" s="1371"/>
      <c r="N314" s="1371"/>
      <c r="O314" s="1371"/>
      <c r="P314" s="1371"/>
      <c r="Q314" s="1371"/>
      <c r="R314" s="1371"/>
      <c r="S314" s="3"/>
      <c r="T314" s="3" t="s">
        <v>87</v>
      </c>
      <c r="V314" s="3"/>
      <c r="W314" s="3"/>
      <c r="X314" s="3"/>
      <c r="Y314" s="3"/>
      <c r="AA314" s="1371" t="s">
        <v>2686</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2663</v>
      </c>
      <c r="I315" s="1543"/>
      <c r="J315" s="1543"/>
      <c r="K315" s="1543"/>
      <c r="L315" s="1543"/>
      <c r="M315" s="1543"/>
      <c r="N315" s="4" t="s">
        <v>206</v>
      </c>
      <c r="O315" s="4"/>
      <c r="P315" s="1526"/>
      <c r="Q315" s="1526"/>
      <c r="R315" s="1526"/>
      <c r="S315" s="3"/>
      <c r="T315" s="3" t="s">
        <v>88</v>
      </c>
      <c r="V315" s="3"/>
      <c r="W315" s="3"/>
      <c r="X315" s="3"/>
      <c r="Y315" s="3"/>
      <c r="AA315" s="1543" t="s">
        <v>2687</v>
      </c>
      <c r="AB315" s="1543"/>
      <c r="AC315" s="1543"/>
      <c r="AD315" s="1543"/>
      <c r="AE315" s="1543"/>
      <c r="AF315" s="1543"/>
      <c r="AG315" s="4" t="s">
        <v>206</v>
      </c>
      <c r="AH315" s="4"/>
      <c r="AI315" s="1526"/>
      <c r="AJ315" s="1526"/>
      <c r="AK315" s="1526"/>
    </row>
    <row r="316" spans="2:37" ht="12.95" customHeight="1">
      <c r="B316" s="3" t="s">
        <v>89</v>
      </c>
      <c r="C316" s="3"/>
      <c r="D316" s="3"/>
      <c r="E316" s="3"/>
      <c r="F316" s="3"/>
      <c r="G316" s="3"/>
      <c r="H316" s="1487" t="s">
        <v>2664</v>
      </c>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2665</v>
      </c>
      <c r="I317" s="1371"/>
      <c r="J317" s="1371"/>
      <c r="K317" s="1371"/>
      <c r="L317" s="1371"/>
      <c r="M317" s="1371"/>
      <c r="N317" s="1407"/>
      <c r="O317" s="1407"/>
      <c r="P317" s="1407"/>
      <c r="Q317" s="1407"/>
      <c r="R317" s="1407"/>
      <c r="S317" s="3"/>
      <c r="T317" s="3" t="s">
        <v>76</v>
      </c>
      <c r="V317" s="3"/>
      <c r="W317" s="3"/>
      <c r="X317" s="3"/>
      <c r="Y317" s="3"/>
      <c r="AA317" s="1371" t="s">
        <v>2688</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2689</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2690</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2691</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2692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2693</v>
      </c>
      <c r="AB323" s="1543"/>
      <c r="AC323" s="1543"/>
      <c r="AD323" s="1543"/>
      <c r="AE323" s="1543"/>
      <c r="AF323" s="1543"/>
      <c r="AG323" s="4" t="s">
        <v>206</v>
      </c>
      <c r="AH323" s="4"/>
      <c r="AI323" s="1526"/>
      <c r="AJ323" s="1526"/>
      <c r="AK323" s="1526"/>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2694</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2689</v>
      </c>
      <c r="I327" s="1407"/>
      <c r="J327" s="1407"/>
      <c r="K327" s="1407"/>
      <c r="L327" s="1407"/>
      <c r="M327" s="1407"/>
      <c r="N327" s="1407"/>
      <c r="O327" s="1407"/>
      <c r="P327" s="1407"/>
      <c r="Q327" s="1407"/>
      <c r="R327" s="1407"/>
      <c r="T327" s="3" t="s">
        <v>368</v>
      </c>
      <c r="V327" s="3"/>
      <c r="W327" s="3"/>
      <c r="X327" s="3"/>
      <c r="Y327" s="3"/>
      <c r="AA327" s="1407" t="s">
        <v>2695</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2690</v>
      </c>
      <c r="I328" s="1371"/>
      <c r="J328" s="1371"/>
      <c r="K328" s="1371"/>
      <c r="L328" s="1371"/>
      <c r="M328" s="1371"/>
      <c r="N328" s="1371"/>
      <c r="O328" s="1371"/>
      <c r="P328" s="1371"/>
      <c r="Q328" s="1371"/>
      <c r="R328" s="1371"/>
      <c r="T328" s="3" t="s">
        <v>472</v>
      </c>
      <c r="V328" s="3"/>
      <c r="W328" s="3"/>
      <c r="X328" s="3"/>
      <c r="Y328" s="3"/>
      <c r="AA328" s="1371" t="s">
        <v>2696</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2691</v>
      </c>
      <c r="I329" s="1371"/>
      <c r="J329" s="1371"/>
      <c r="K329" s="1371"/>
      <c r="L329" s="1371"/>
      <c r="M329" s="1371"/>
      <c r="N329" s="1371"/>
      <c r="O329" s="1371"/>
      <c r="P329" s="1371"/>
      <c r="Q329" s="1371"/>
      <c r="R329" s="1371"/>
      <c r="T329" s="3" t="s">
        <v>75</v>
      </c>
      <c r="V329" s="3"/>
      <c r="W329" s="3"/>
      <c r="X329" s="3"/>
      <c r="Y329" s="3"/>
      <c r="AA329" s="1371" t="s">
        <v>2697</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2692</v>
      </c>
      <c r="I330" s="1371"/>
      <c r="J330" s="1371"/>
      <c r="K330" s="1371"/>
      <c r="L330" s="1371"/>
      <c r="M330" s="1371"/>
      <c r="N330" s="1371"/>
      <c r="O330" s="1371"/>
      <c r="P330" s="1371"/>
      <c r="Q330" s="1371"/>
      <c r="R330" s="1371"/>
      <c r="T330" s="3" t="s">
        <v>87</v>
      </c>
      <c r="V330" s="3"/>
      <c r="W330" s="3"/>
      <c r="X330" s="3"/>
      <c r="Y330" s="3"/>
      <c r="AA330" s="1371" t="s">
        <v>2698</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3" t="s">
        <v>2693</v>
      </c>
      <c r="I331" s="1543"/>
      <c r="J331" s="1543"/>
      <c r="K331" s="1543"/>
      <c r="L331" s="1543"/>
      <c r="M331" s="1543"/>
      <c r="N331" s="4" t="s">
        <v>206</v>
      </c>
      <c r="O331" s="4"/>
      <c r="P331" s="1526"/>
      <c r="Q331" s="1526"/>
      <c r="R331" s="1526"/>
      <c r="S331" s="3"/>
      <c r="T331" s="3" t="s">
        <v>88</v>
      </c>
      <c r="V331" s="3"/>
      <c r="W331" s="3"/>
      <c r="X331" s="3"/>
      <c r="Y331" s="3"/>
      <c r="AA331" s="1543" t="s">
        <v>2699</v>
      </c>
      <c r="AB331" s="1543"/>
      <c r="AC331" s="1543"/>
      <c r="AD331" s="1543"/>
      <c r="AE331" s="1543"/>
      <c r="AF331" s="1543"/>
      <c r="AG331" s="4" t="s">
        <v>206</v>
      </c>
      <c r="AH331" s="4"/>
      <c r="AI331" s="1526"/>
      <c r="AJ331" s="1526"/>
      <c r="AK331" s="1526"/>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2694</v>
      </c>
      <c r="I333" s="1371"/>
      <c r="J333" s="1371"/>
      <c r="K333" s="1371"/>
      <c r="L333" s="1371"/>
      <c r="M333" s="1371"/>
      <c r="N333" s="1407"/>
      <c r="O333" s="1407"/>
      <c r="P333" s="1407"/>
      <c r="Q333" s="1407"/>
      <c r="R333" s="1407"/>
      <c r="S333" s="3"/>
      <c r="T333" s="3" t="s">
        <v>76</v>
      </c>
      <c r="V333" s="3"/>
      <c r="W333" s="3"/>
      <c r="X333" s="3"/>
      <c r="Y333" s="3"/>
      <c r="AA333" s="1371" t="s">
        <v>2700</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2701</v>
      </c>
      <c r="I335" s="1407"/>
      <c r="J335" s="1407"/>
      <c r="K335" s="1407"/>
      <c r="L335" s="1407"/>
      <c r="M335" s="1407"/>
      <c r="N335" s="1407"/>
      <c r="O335" s="1407"/>
      <c r="P335" s="1407"/>
      <c r="Q335" s="1407"/>
      <c r="R335" s="1407"/>
      <c r="T335" s="204" t="s">
        <v>887</v>
      </c>
      <c r="V335" s="3"/>
      <c r="W335" s="3"/>
      <c r="X335" s="3"/>
      <c r="Y335" s="3"/>
      <c r="AA335" s="1407" t="s">
        <v>2707</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2702</v>
      </c>
      <c r="I336" s="1371"/>
      <c r="J336" s="1371"/>
      <c r="K336" s="1371"/>
      <c r="L336" s="1371"/>
      <c r="M336" s="1371"/>
      <c r="N336" s="1371"/>
      <c r="O336" s="1371"/>
      <c r="P336" s="1371"/>
      <c r="Q336" s="1371"/>
      <c r="R336" s="1371"/>
      <c r="T336" s="3" t="s">
        <v>472</v>
      </c>
      <c r="V336" s="3"/>
      <c r="W336" s="3"/>
      <c r="X336" s="3"/>
      <c r="Y336" s="3"/>
      <c r="AA336" s="1371" t="s">
        <v>2626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2703</v>
      </c>
      <c r="I337" s="1371"/>
      <c r="J337" s="1371"/>
      <c r="K337" s="1371"/>
      <c r="L337" s="1371"/>
      <c r="M337" s="1371"/>
      <c r="N337" s="1371"/>
      <c r="O337" s="1371"/>
      <c r="P337" s="1371"/>
      <c r="Q337" s="1371"/>
      <c r="R337" s="1371"/>
      <c r="T337" s="3" t="s">
        <v>75</v>
      </c>
      <c r="V337" s="3"/>
      <c r="W337" s="3"/>
      <c r="X337" s="3"/>
      <c r="Y337" s="3"/>
      <c r="AA337" s="1371" t="s">
        <v>2649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2704</v>
      </c>
      <c r="I338" s="1371"/>
      <c r="J338" s="1371"/>
      <c r="K338" s="1371"/>
      <c r="L338" s="1371"/>
      <c r="M338" s="1371"/>
      <c r="N338" s="1371"/>
      <c r="O338" s="1371"/>
      <c r="P338" s="1371"/>
      <c r="Q338" s="1371"/>
      <c r="R338" s="1371"/>
      <c r="T338" s="3" t="s">
        <v>87</v>
      </c>
      <c r="V338" s="3"/>
      <c r="W338" s="3"/>
      <c r="X338" s="3"/>
      <c r="Y338" s="3"/>
      <c r="AA338" s="1531" t="s">
        <v>2708</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3" t="s">
        <v>2705</v>
      </c>
      <c r="I339" s="1543"/>
      <c r="J339" s="1543"/>
      <c r="K339" s="1543"/>
      <c r="L339" s="1543"/>
      <c r="M339" s="1543"/>
      <c r="N339" s="4" t="s">
        <v>206</v>
      </c>
      <c r="O339" s="4"/>
      <c r="P339" s="1526"/>
      <c r="Q339" s="1526"/>
      <c r="R339" s="1526"/>
      <c r="S339" s="3"/>
      <c r="T339" s="3" t="s">
        <v>88</v>
      </c>
      <c r="V339" s="3"/>
      <c r="W339" s="3"/>
      <c r="X339" s="3"/>
      <c r="Y339" s="3"/>
      <c r="AA339" s="1568" t="s">
        <v>2709</v>
      </c>
      <c r="AB339" s="1543"/>
      <c r="AC339" s="1543"/>
      <c r="AD339" s="1543"/>
      <c r="AE339" s="1543"/>
      <c r="AF339" s="1543"/>
      <c r="AG339" s="4" t="s">
        <v>206</v>
      </c>
      <c r="AH339" s="4"/>
      <c r="AI339" s="1526"/>
      <c r="AJ339" s="1526"/>
      <c r="AK339" s="1526"/>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2706</v>
      </c>
      <c r="I341" s="1371"/>
      <c r="J341" s="1371"/>
      <c r="K341" s="1371"/>
      <c r="L341" s="1371"/>
      <c r="M341" s="1371"/>
      <c r="N341" s="1407"/>
      <c r="O341" s="1407"/>
      <c r="P341" s="1407"/>
      <c r="Q341" s="1407"/>
      <c r="R341" s="1407"/>
      <c r="S341" s="3"/>
      <c r="T341" s="3" t="s">
        <v>76</v>
      </c>
      <c r="V341" s="3"/>
      <c r="W341" s="3"/>
      <c r="X341" s="3"/>
      <c r="Y341" s="3"/>
      <c r="AA341" s="1531" t="s">
        <v>2710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2711</v>
      </c>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t="s">
        <v>2712</v>
      </c>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t="s">
        <v>2713</v>
      </c>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t="s">
        <v>2714</v>
      </c>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t="s">
        <v>2715</v>
      </c>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t="s">
        <v>2716</v>
      </c>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592</v>
      </c>
      <c r="N355" s="1415"/>
      <c r="P355" t="s">
        <v>1651</v>
      </c>
      <c r="AJ355" s="1415" t="s">
        <v>670</v>
      </c>
      <c r="AK355" s="1415"/>
    </row>
    <row r="356" spans="1:46" ht="12.95" customHeight="1">
      <c r="D356" s="3" t="s">
        <v>1640</v>
      </c>
      <c r="M356" s="1415" t="s">
        <v>592</v>
      </c>
      <c r="N356" s="1415"/>
      <c r="P356" s="3" t="s">
        <v>1720</v>
      </c>
      <c r="AJ356" s="1382">
        <v>0</v>
      </c>
      <c r="AK356" s="1382"/>
    </row>
    <row r="357" spans="1:46" ht="12.95" customHeight="1">
      <c r="D357" s="3" t="s">
        <v>705</v>
      </c>
      <c r="M357" s="1415" t="s">
        <v>592</v>
      </c>
      <c r="N357" s="1415"/>
      <c r="P357" t="s">
        <v>1650</v>
      </c>
      <c r="AJ357" s="1415" t="s">
        <v>670</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t="s">
        <v>2717</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579" t="s">
        <v>2722</v>
      </c>
      <c r="O370" s="1390"/>
      <c r="P370" s="1390"/>
      <c r="Q370" s="1390"/>
      <c r="R370" s="4"/>
      <c r="U370" s="4" t="s">
        <v>450</v>
      </c>
      <c r="V370" s="4"/>
      <c r="W370" s="4"/>
      <c r="X370" s="4"/>
      <c r="Y370" s="4"/>
      <c r="Z370" s="4"/>
      <c r="AA370" s="4"/>
      <c r="AB370" s="4"/>
      <c r="AC370" s="1390" t="s">
        <v>2718</v>
      </c>
      <c r="AD370" s="1390"/>
      <c r="AE370" s="1390"/>
      <c r="AF370" s="1390"/>
    </row>
    <row r="371" spans="1:34" ht="12.95" customHeight="1">
      <c r="E371" s="4" t="s">
        <v>451</v>
      </c>
      <c r="F371" s="4"/>
      <c r="G371" s="4"/>
      <c r="H371" s="4"/>
      <c r="I371" s="4"/>
      <c r="J371" s="4"/>
      <c r="K371" s="4"/>
      <c r="L371" s="4"/>
      <c r="N371" s="1390" t="s">
        <v>2718</v>
      </c>
      <c r="O371" s="1390"/>
      <c r="P371" s="1390"/>
      <c r="Q371" s="1390"/>
      <c r="R371" s="4"/>
      <c r="U371" s="4" t="s">
        <v>0</v>
      </c>
      <c r="V371" s="4"/>
      <c r="W371" s="4"/>
      <c r="X371" s="4"/>
      <c r="Y371" s="4"/>
      <c r="Z371" s="4"/>
      <c r="AA371" s="4"/>
      <c r="AB371" s="4"/>
      <c r="AC371" s="1390" t="s">
        <v>2720</v>
      </c>
      <c r="AD371" s="1390"/>
      <c r="AE371" s="1390"/>
      <c r="AF371" s="1390"/>
    </row>
    <row r="372" spans="1:34" ht="12.95" customHeight="1">
      <c r="E372" s="4" t="s">
        <v>1</v>
      </c>
      <c r="F372" s="4"/>
      <c r="G372" s="4"/>
      <c r="H372" s="4"/>
      <c r="I372" s="4"/>
      <c r="J372" s="4"/>
      <c r="K372" s="4"/>
      <c r="L372" s="4"/>
      <c r="N372" s="1390" t="s">
        <v>2719</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7" t="s">
        <v>2721</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523" t="s">
        <v>2646</v>
      </c>
      <c r="K385" s="1407"/>
      <c r="L385" s="1407"/>
      <c r="M385" s="1407"/>
      <c r="N385" s="1407"/>
      <c r="O385" s="1407"/>
      <c r="P385" s="1407"/>
      <c r="Q385" s="1407"/>
      <c r="R385" s="1407"/>
      <c r="S385" s="1407"/>
      <c r="T385" s="1407"/>
      <c r="U385" s="1407"/>
      <c r="V385" s="8" t="s">
        <v>83</v>
      </c>
      <c r="W385" s="8"/>
      <c r="X385" s="8"/>
      <c r="Y385" s="8"/>
      <c r="Z385" s="8"/>
      <c r="AA385" s="8"/>
      <c r="AB385" s="8"/>
      <c r="AC385" s="1407" t="s">
        <v>2643</v>
      </c>
      <c r="AD385" s="1407"/>
      <c r="AE385" s="1407"/>
      <c r="AF385" s="1407"/>
      <c r="AG385" s="1407"/>
      <c r="AH385" s="1407"/>
      <c r="AI385" s="1407"/>
      <c r="AJ385" s="1407"/>
    </row>
    <row r="386" spans="4:36" ht="12.95" customHeight="1">
      <c r="D386" s="3" t="s">
        <v>1183</v>
      </c>
      <c r="J386" s="1371" t="s">
        <v>2643</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2723</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2724</v>
      </c>
      <c r="K388" s="1427"/>
      <c r="L388" s="1427"/>
      <c r="M388" s="1427"/>
      <c r="N388" s="1427"/>
      <c r="O388" s="1427"/>
      <c r="P388" s="1427"/>
      <c r="Q388" s="1427"/>
      <c r="R388" s="1427"/>
      <c r="S388" s="1427"/>
      <c r="T388" s="1427"/>
      <c r="U388" s="1427"/>
      <c r="V388" s="1407">
        <v>90401</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0">
        <v>45524</v>
      </c>
      <c r="R389" s="1590"/>
      <c r="S389" s="1590"/>
      <c r="T389" s="1590"/>
      <c r="U389" s="1590"/>
      <c r="V389" t="s">
        <v>309</v>
      </c>
      <c r="AI389" s="1415" t="s">
        <v>670</v>
      </c>
      <c r="AJ389" s="1415"/>
    </row>
    <row r="390" spans="4:36" ht="12.95" customHeight="1">
      <c r="D390" t="s">
        <v>5</v>
      </c>
      <c r="Q390" s="1521">
        <v>46203</v>
      </c>
      <c r="R390" s="1522"/>
      <c r="S390" s="1522"/>
      <c r="T390" s="1522"/>
      <c r="U390" s="1522"/>
      <c r="W390" s="21" t="s">
        <v>74</v>
      </c>
      <c r="AG390" s="1448"/>
      <c r="AH390" s="1448"/>
      <c r="AI390" s="1448"/>
      <c r="AJ390" s="1448"/>
    </row>
    <row r="391" spans="4:36" ht="12.95" customHeight="1">
      <c r="D391" t="s">
        <v>427</v>
      </c>
      <c r="Q391" s="1449">
        <v>75000000</v>
      </c>
      <c r="R391" s="1449"/>
      <c r="S391" s="1449"/>
      <c r="T391" s="1449"/>
      <c r="U391" s="1449"/>
      <c r="V391" s="3" t="s">
        <v>1182</v>
      </c>
      <c r="AG391" s="1519">
        <v>46006</v>
      </c>
      <c r="AH391" s="1519"/>
      <c r="AI391" s="1519"/>
      <c r="AJ391" s="1519"/>
    </row>
    <row r="392" spans="4:36" ht="12.95" customHeight="1">
      <c r="D392" t="s">
        <v>88</v>
      </c>
      <c r="I392" s="1543" t="s">
        <v>2644</v>
      </c>
      <c r="J392" s="1543"/>
      <c r="K392" s="1543"/>
      <c r="L392" s="1543"/>
      <c r="M392" s="1543"/>
      <c r="N392" s="1543"/>
      <c r="Q392" s="4" t="s">
        <v>206</v>
      </c>
      <c r="S392" s="1447"/>
      <c r="T392" s="1447"/>
      <c r="U392" s="1447"/>
      <c r="V392" t="s">
        <v>73</v>
      </c>
      <c r="AI392" s="1415" t="s">
        <v>670</v>
      </c>
      <c r="AJ392" s="1415"/>
    </row>
    <row r="393" spans="4:36" ht="12.95" customHeight="1">
      <c r="D393" t="s">
        <v>310</v>
      </c>
      <c r="Q393" s="1525"/>
      <c r="R393" s="1525"/>
      <c r="S393" s="1525"/>
      <c r="T393" s="1525"/>
      <c r="U393" s="1525"/>
      <c r="V393" t="s">
        <v>311</v>
      </c>
      <c r="AG393" s="1448"/>
      <c r="AH393" s="1448"/>
      <c r="AI393" s="1448"/>
      <c r="AJ393" s="1448"/>
    </row>
    <row r="394" spans="4:36" ht="12.95" customHeight="1">
      <c r="D394" t="s">
        <v>312</v>
      </c>
      <c r="Q394" s="1580"/>
      <c r="R394" s="1580"/>
      <c r="S394" s="1580"/>
      <c r="T394" s="1580"/>
      <c r="U394" s="1580"/>
      <c r="V394" t="s">
        <v>1164</v>
      </c>
      <c r="AG394" s="1448">
        <v>0</v>
      </c>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4"/>
      <c r="AH401" s="1524"/>
      <c r="AI401" s="1524"/>
      <c r="AJ401" s="1524"/>
    </row>
    <row r="402" spans="1:36" ht="12.95" customHeight="1">
      <c r="D402" s="3" t="s">
        <v>1659</v>
      </c>
      <c r="S402" s="1434" t="s">
        <v>592</v>
      </c>
      <c r="T402" s="1434"/>
      <c r="U402" s="1434"/>
      <c r="V402" t="s">
        <v>1664</v>
      </c>
      <c r="AE402" s="1518"/>
      <c r="AF402" s="1518"/>
      <c r="AG402" s="1518"/>
      <c r="AH402" s="1518"/>
      <c r="AI402" s="1518"/>
      <c r="AJ402" s="1518"/>
    </row>
    <row r="403" spans="1:36" ht="12.95"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7"/>
      <c r="F405" s="477"/>
      <c r="G405" s="477"/>
      <c r="H405" s="477"/>
      <c r="I405" s="477"/>
      <c r="J405" s="477"/>
      <c r="K405" s="477"/>
      <c r="L405" s="477"/>
      <c r="M405" s="477"/>
      <c r="N405" s="477"/>
      <c r="O405" s="477"/>
      <c r="P405" s="477"/>
      <c r="Q405" s="477"/>
      <c r="R405" s="477"/>
      <c r="S405" s="1445" t="s">
        <v>2725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3" t="s">
        <v>2726</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15" t="s">
        <v>546</v>
      </c>
      <c r="S411" s="1415"/>
      <c r="AC411" s="27" t="s">
        <v>571</v>
      </c>
      <c r="AD411" s="1390">
        <v>13</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81" t="s">
        <v>2727</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23.2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4">
        <v>0.51700000000000002</v>
      </c>
      <c r="Q418" s="1584"/>
      <c r="R418" s="1584"/>
      <c r="S418" t="s">
        <v>117</v>
      </c>
      <c r="W418" s="1444">
        <f>IF(E418&gt;0,(E418*I418),(P418*43560))</f>
        <v>22520.52</v>
      </c>
      <c r="X418" s="1444"/>
      <c r="Y418" s="1444"/>
      <c r="Z418" t="s">
        <v>118</v>
      </c>
      <c r="AF418" s="1585">
        <f>IFERROR(IF(P418&gt;0,(AG437/P418),(AG437/(W418/43560))),0)</f>
        <v>315.28046421663441</v>
      </c>
      <c r="AG418" s="1585"/>
      <c r="AH418" s="1585"/>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83">
        <f>P418</f>
        <v>0.51700000000000002</v>
      </c>
      <c r="J421" s="1583"/>
      <c r="K421" s="1583"/>
      <c r="L421" s="1013"/>
      <c r="M421" s="118"/>
      <c r="N421" s="1013"/>
      <c r="O421" s="1013"/>
      <c r="P421" s="1835">
        <f>(DU755+DU778+DU800)/I421</f>
        <v>338.49129593810443</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163</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161</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161</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57066-742-612</f>
        <v>55712</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55712</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2993</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23841-AG446</f>
        <v>20848</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23692</v>
      </c>
      <c r="AH449" s="1416"/>
      <c r="AI449" s="1416"/>
      <c r="AJ449" s="1416"/>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103245</v>
      </c>
      <c r="AH450" s="1429"/>
      <c r="AI450" s="1429"/>
      <c r="AJ450" s="1429"/>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983435.58282208594</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983435.58282208594</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881408.91411042947</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17</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t="s">
        <v>2728</v>
      </c>
      <c r="H474" s="1673"/>
      <c r="I474" s="1673"/>
      <c r="J474" s="1673"/>
      <c r="K474" s="1673"/>
      <c r="L474" s="1673"/>
      <c r="M474" s="1673"/>
      <c r="N474" s="1673"/>
      <c r="O474" s="1673"/>
      <c r="P474" s="1673"/>
      <c r="Q474" s="1673"/>
      <c r="R474" s="1673"/>
      <c r="S474" s="1673"/>
      <c r="T474" s="1673"/>
      <c r="U474" s="1673"/>
      <c r="V474" s="1674"/>
      <c r="W474" s="1391">
        <v>161</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2729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2730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2730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2"/>
      <c r="T490" s="1530"/>
      <c r="U490" s="1530"/>
      <c r="V490" s="1530"/>
      <c r="W490" s="1530"/>
      <c r="X490" s="1530"/>
      <c r="Y490" s="1530"/>
      <c r="Z490" s="1530"/>
      <c r="AA490" s="1530"/>
      <c r="AB490" s="1530"/>
      <c r="AC490" s="1530"/>
      <c r="AD490" s="1530"/>
      <c r="AE490" s="1530"/>
      <c r="AF490" s="1530"/>
      <c r="AG490" s="1530"/>
      <c r="AH490" s="1530"/>
      <c r="AI490" s="1530"/>
      <c r="AJ490" s="1530"/>
      <c r="AK490" s="157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2731</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58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58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42</v>
      </c>
      <c r="N495" s="1382"/>
      <c r="O495" s="1382"/>
      <c r="P495" s="1383"/>
      <c r="Q495" s="121" t="s">
        <v>1671</v>
      </c>
      <c r="R495" s="5"/>
      <c r="S495" s="5"/>
      <c r="T495" s="5"/>
      <c r="U495" s="5"/>
      <c r="V495" s="5"/>
      <c r="W495" s="5"/>
      <c r="X495" s="5"/>
      <c r="Y495" s="5"/>
      <c r="Z495" s="5"/>
      <c r="AA495" s="5"/>
      <c r="AB495" s="5"/>
      <c r="AC495" s="5"/>
      <c r="AD495" s="5"/>
      <c r="AE495" s="5"/>
      <c r="AF495" s="5"/>
      <c r="AG495" s="5"/>
      <c r="AH495" s="1381">
        <v>16</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7</v>
      </c>
      <c r="AD501" s="1390"/>
      <c r="AE501" s="1390"/>
      <c r="AF501" s="1390"/>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12</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12</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2732</v>
      </c>
      <c r="P520" s="1434"/>
      <c r="Q520" s="1434"/>
      <c r="R520" s="1434"/>
      <c r="S520" s="1434"/>
      <c r="T520" s="1434"/>
      <c r="U520" s="1434"/>
      <c r="V520" s="1434"/>
      <c r="W520" s="1434"/>
      <c r="X520" s="1434"/>
      <c r="Y520" s="1434"/>
      <c r="Z520" s="1434"/>
      <c r="AA520" s="1434"/>
      <c r="AB520" s="58"/>
      <c r="AC520" s="1355">
        <v>8</v>
      </c>
      <c r="AD520" s="1356"/>
      <c r="AE520" s="1356"/>
      <c r="AF520" s="1356"/>
      <c r="AG520" s="129" t="s">
        <v>403</v>
      </c>
      <c r="AH520" s="1427">
        <v>2024</v>
      </c>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v>8</v>
      </c>
      <c r="AD521" s="1390"/>
      <c r="AE521" s="1390"/>
      <c r="AF521" s="1390"/>
      <c r="AG521" s="13" t="s">
        <v>403</v>
      </c>
      <c r="AH521" s="1427">
        <v>2024</v>
      </c>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12</v>
      </c>
      <c r="AD522" s="1390"/>
      <c r="AE522" s="1390"/>
      <c r="AF522" s="1390"/>
      <c r="AG522" s="38" t="s">
        <v>403</v>
      </c>
      <c r="AH522" s="1427">
        <v>2025</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t="s">
        <v>592</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10</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10</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7">
        <v>2025</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44.25" customHeight="1">
      <c r="B554" s="51" t="s">
        <v>112</v>
      </c>
      <c r="C554" s="1439" t="s">
        <v>2733</v>
      </c>
      <c r="D554" s="1439"/>
      <c r="E554" s="1439"/>
      <c r="F554" s="1439"/>
      <c r="G554" s="1439"/>
      <c r="H554" s="1439"/>
      <c r="I554" s="1439"/>
      <c r="J554" s="1439"/>
      <c r="K554" s="1439"/>
      <c r="L554" s="1439"/>
      <c r="M554" s="1439" t="s">
        <v>2121</v>
      </c>
      <c r="N554" s="1439"/>
      <c r="O554" s="1439"/>
      <c r="P554" s="1439"/>
      <c r="Q554" s="1425">
        <v>31</v>
      </c>
      <c r="R554" s="1425"/>
      <c r="S554" s="1426"/>
      <c r="T554" s="1424"/>
      <c r="U554" s="1425"/>
      <c r="V554" s="1426"/>
      <c r="W554" s="1421">
        <v>6.5000000000000002E-2</v>
      </c>
      <c r="X554" s="1422"/>
      <c r="Y554" s="1423"/>
      <c r="Z554" s="1430" t="s">
        <v>2734</v>
      </c>
      <c r="AA554" s="1430"/>
      <c r="AB554" s="1430"/>
      <c r="AC554" s="1430"/>
      <c r="AD554" s="1430"/>
      <c r="AE554" s="1412">
        <v>1</v>
      </c>
      <c r="AF554" s="1413"/>
      <c r="AG554" s="1413"/>
      <c r="AH554" s="1414"/>
      <c r="AI554" s="1436"/>
      <c r="AJ554" s="1437"/>
      <c r="AK554" s="1437"/>
      <c r="AL554" s="1438"/>
      <c r="AM554" s="1465">
        <f>19530000+60470000</f>
        <v>80000000</v>
      </c>
      <c r="AN554" s="1466"/>
      <c r="AO554" s="1466"/>
      <c r="AP554" s="1466"/>
      <c r="AQ554" s="1466"/>
      <c r="AR554" s="1466"/>
      <c r="AS554" s="1467"/>
      <c r="AT554" s="1148"/>
      <c r="AU554" s="1147"/>
      <c r="BB554" s="3"/>
      <c r="BC554" s="3"/>
      <c r="BD554" s="3"/>
      <c r="BE554" s="3"/>
      <c r="BF554" s="3"/>
      <c r="BG554" s="3"/>
      <c r="BH554" s="3"/>
      <c r="BI554" s="3"/>
    </row>
    <row r="555" spans="1:61" ht="34.5" customHeight="1">
      <c r="B555" s="52" t="s">
        <v>113</v>
      </c>
      <c r="C555" s="1440" t="s">
        <v>2735</v>
      </c>
      <c r="D555" s="1440"/>
      <c r="E555" s="1440"/>
      <c r="F555" s="1440"/>
      <c r="G555" s="1440"/>
      <c r="H555" s="1440"/>
      <c r="I555" s="1440"/>
      <c r="J555" s="1440"/>
      <c r="K555" s="1440"/>
      <c r="L555" s="1440"/>
      <c r="M555" s="1439" t="s">
        <v>2118</v>
      </c>
      <c r="N555" s="1439"/>
      <c r="O555" s="1439"/>
      <c r="P555" s="1439"/>
      <c r="Q555" s="1424">
        <f>58*12</f>
        <v>696</v>
      </c>
      <c r="R555" s="1425"/>
      <c r="S555" s="1426"/>
      <c r="T555" s="1424"/>
      <c r="U555" s="1425"/>
      <c r="V555" s="1426"/>
      <c r="W555" s="1421">
        <v>4.6100000000000002E-2</v>
      </c>
      <c r="X555" s="1422"/>
      <c r="Y555" s="1423"/>
      <c r="Z555" s="1430" t="s">
        <v>2734</v>
      </c>
      <c r="AA555" s="1430"/>
      <c r="AB555" s="1430"/>
      <c r="AC555" s="1430"/>
      <c r="AD555" s="1430"/>
      <c r="AE555" s="1412">
        <v>2</v>
      </c>
      <c r="AF555" s="1413"/>
      <c r="AG555" s="1413"/>
      <c r="AH555" s="1414"/>
      <c r="AI555" s="1436"/>
      <c r="AJ555" s="1437"/>
      <c r="AK555" s="1437"/>
      <c r="AL555" s="1438"/>
      <c r="AM555" s="1465"/>
      <c r="AN555" s="1466"/>
      <c r="AO555" s="1466"/>
      <c r="AP555" s="1466"/>
      <c r="AQ555" s="1466"/>
      <c r="AR555" s="1466"/>
      <c r="AS555" s="1467"/>
      <c r="AT555" s="1148" t="str">
        <f>IF(AND(NOT(C554=""),C555="",NOT(C556="")),"!","")</f>
        <v/>
      </c>
      <c r="AU555" s="1147"/>
      <c r="BB555" s="3"/>
      <c r="BC555" s="3"/>
      <c r="BD555" s="3"/>
      <c r="BE555" s="3"/>
      <c r="BF555" s="3"/>
      <c r="BG555" s="3"/>
      <c r="BH555" s="3"/>
      <c r="BI555" s="3"/>
    </row>
    <row r="556" spans="1:61" ht="42.75" customHeight="1">
      <c r="B556" s="52" t="s">
        <v>119</v>
      </c>
      <c r="C556" s="1440" t="s">
        <v>2736</v>
      </c>
      <c r="D556" s="1440"/>
      <c r="E556" s="1440"/>
      <c r="F556" s="1440"/>
      <c r="G556" s="1440"/>
      <c r="H556" s="1440"/>
      <c r="I556" s="1440"/>
      <c r="J556" s="1440"/>
      <c r="K556" s="1440"/>
      <c r="L556" s="1440"/>
      <c r="M556" s="1439" t="s">
        <v>2122</v>
      </c>
      <c r="N556" s="1439"/>
      <c r="O556" s="1439"/>
      <c r="P556" s="1439"/>
      <c r="Q556" s="1424">
        <v>31</v>
      </c>
      <c r="R556" s="1425"/>
      <c r="S556" s="1426"/>
      <c r="T556" s="1424"/>
      <c r="U556" s="1425"/>
      <c r="V556" s="1426"/>
      <c r="W556" s="1421">
        <v>6.5000000000000002E-2</v>
      </c>
      <c r="X556" s="1422"/>
      <c r="Y556" s="1423"/>
      <c r="Z556" s="1430" t="s">
        <v>2734</v>
      </c>
      <c r="AA556" s="1430"/>
      <c r="AB556" s="1430"/>
      <c r="AC556" s="1430"/>
      <c r="AD556" s="1430"/>
      <c r="AE556" s="1412">
        <v>1</v>
      </c>
      <c r="AF556" s="1413"/>
      <c r="AG556" s="1413"/>
      <c r="AH556" s="1414"/>
      <c r="AI556" s="1436"/>
      <c r="AJ556" s="1437"/>
      <c r="AK556" s="1437"/>
      <c r="AL556" s="1438"/>
      <c r="AM556" s="1465">
        <v>7920000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41.25" customHeight="1">
      <c r="B557" s="52" t="s">
        <v>582</v>
      </c>
      <c r="C557" s="1440" t="s">
        <v>2737</v>
      </c>
      <c r="D557" s="1440"/>
      <c r="E557" s="1440"/>
      <c r="F557" s="1440"/>
      <c r="G557" s="1440"/>
      <c r="H557" s="1440"/>
      <c r="I557" s="1440"/>
      <c r="J557" s="1440"/>
      <c r="K557" s="1440"/>
      <c r="L557" s="1440"/>
      <c r="M557" s="1439" t="s">
        <v>2116</v>
      </c>
      <c r="N557" s="1439"/>
      <c r="O557" s="1439"/>
      <c r="P557" s="1439"/>
      <c r="Q557" s="1424">
        <v>31</v>
      </c>
      <c r="R557" s="1425"/>
      <c r="S557" s="1426"/>
      <c r="T557" s="1424"/>
      <c r="U557" s="1425"/>
      <c r="V557" s="1426"/>
      <c r="W557" s="1421">
        <v>6.7500000000000004E-2</v>
      </c>
      <c r="X557" s="1422"/>
      <c r="Y557" s="1423"/>
      <c r="Z557" s="1430" t="s">
        <v>2734</v>
      </c>
      <c r="AA557" s="1430"/>
      <c r="AB557" s="1430"/>
      <c r="AC557" s="1430"/>
      <c r="AD557" s="1430"/>
      <c r="AE557" s="1412">
        <v>1</v>
      </c>
      <c r="AF557" s="1413"/>
      <c r="AG557" s="1413"/>
      <c r="AH557" s="1414"/>
      <c r="AI557" s="1436"/>
      <c r="AJ557" s="1437"/>
      <c r="AK557" s="1437"/>
      <c r="AL557" s="1438"/>
      <c r="AM557" s="1465">
        <v>11180000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37.5" customHeight="1">
      <c r="B558" s="52" t="s">
        <v>764</v>
      </c>
      <c r="C558" s="1440" t="s">
        <v>2323</v>
      </c>
      <c r="D558" s="1440"/>
      <c r="E558" s="1440"/>
      <c r="F558" s="1440"/>
      <c r="G558" s="1440"/>
      <c r="H558" s="1440"/>
      <c r="I558" s="1440"/>
      <c r="J558" s="1440"/>
      <c r="K558" s="1440"/>
      <c r="L558" s="1440"/>
      <c r="M558" s="1439" t="s">
        <v>2108</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v>15500000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Yes</v>
      </c>
    </row>
    <row r="559" spans="1:61" ht="30" customHeight="1">
      <c r="B559" s="52" t="s">
        <v>585</v>
      </c>
      <c r="C559" s="1440" t="s">
        <v>2738</v>
      </c>
      <c r="D559" s="1440"/>
      <c r="E559" s="1440"/>
      <c r="F559" s="1440"/>
      <c r="G559" s="1440"/>
      <c r="H559" s="1440"/>
      <c r="I559" s="1440"/>
      <c r="J559" s="1440"/>
      <c r="K559" s="1440"/>
      <c r="L559" s="1440"/>
      <c r="M559" s="1439" t="s">
        <v>2125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v>1600000</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45" customHeight="1">
      <c r="B560" s="52" t="s">
        <v>456</v>
      </c>
      <c r="C560" s="1440" t="s">
        <v>2739</v>
      </c>
      <c r="D560" s="1440"/>
      <c r="E560" s="1440"/>
      <c r="F560" s="1440"/>
      <c r="G560" s="1440"/>
      <c r="H560" s="1440"/>
      <c r="I560" s="1440"/>
      <c r="J560" s="1440"/>
      <c r="K560" s="1440"/>
      <c r="L560" s="1440"/>
      <c r="M560" s="1439" t="s">
        <v>2123</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v>3800000</v>
      </c>
      <c r="AN560" s="1466"/>
      <c r="AO560" s="1466"/>
      <c r="AP560" s="1466"/>
      <c r="AQ560" s="1466"/>
      <c r="AR560" s="1466"/>
      <c r="AS560" s="1467"/>
      <c r="AT560" s="1148" t="str">
        <f t="shared" si="0"/>
        <v/>
      </c>
      <c r="AU560" s="1147"/>
      <c r="BB560" s="3"/>
      <c r="BC560" s="3"/>
      <c r="BD560" s="3"/>
      <c r="BE560" s="3"/>
      <c r="BF560" s="3"/>
      <c r="BG560" s="3"/>
      <c r="BH560" s="3"/>
      <c r="BI560" s="3"/>
    </row>
    <row r="561" spans="1:61" ht="32.25" customHeight="1">
      <c r="B561" s="52" t="s">
        <v>457</v>
      </c>
      <c r="C561" s="1440" t="s">
        <v>2740</v>
      </c>
      <c r="D561" s="1440"/>
      <c r="E561" s="1440"/>
      <c r="F561" s="1440"/>
      <c r="G561" s="1440"/>
      <c r="H561" s="1440"/>
      <c r="I561" s="1440"/>
      <c r="J561" s="1440"/>
      <c r="K561" s="1440"/>
      <c r="L561" s="1440"/>
      <c r="M561" s="1439" t="s">
        <v>2107</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v>5670000</v>
      </c>
      <c r="AN561" s="1466"/>
      <c r="AO561" s="1466"/>
      <c r="AP561" s="1466"/>
      <c r="AQ561" s="1466"/>
      <c r="AR561" s="1466"/>
      <c r="AS561" s="1467"/>
      <c r="AT561" s="1148" t="str">
        <f t="shared" si="0"/>
        <v/>
      </c>
      <c r="AU561" s="1147"/>
      <c r="BB561" s="3"/>
      <c r="BC561" s="3"/>
      <c r="BD561" s="3"/>
      <c r="BE561" s="3"/>
      <c r="BF561" s="3"/>
      <c r="BG561" s="3"/>
      <c r="BH561" s="3"/>
      <c r="BI561" s="3"/>
    </row>
    <row r="562" spans="1:61" ht="41.25" customHeight="1">
      <c r="B562" s="52" t="s">
        <v>462</v>
      </c>
      <c r="C562" s="1440" t="s">
        <v>2741</v>
      </c>
      <c r="D562" s="1440"/>
      <c r="E562" s="1440"/>
      <c r="F562" s="1440"/>
      <c r="G562" s="1440"/>
      <c r="H562" s="1440"/>
      <c r="I562" s="1440"/>
      <c r="J562" s="1440"/>
      <c r="K562" s="1440"/>
      <c r="L562" s="1440"/>
      <c r="M562" s="1439" t="s">
        <v>2112</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v>34630000</v>
      </c>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160300000</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Tax Exempt Bonds: Citibank TE Construction Loan + Tax Exempt Seller's Note</v>
      </c>
      <c r="H568" s="1483"/>
      <c r="I568" s="1483"/>
      <c r="J568" s="1483"/>
      <c r="K568" s="1483"/>
      <c r="L568" s="1483"/>
      <c r="M568" s="1483"/>
      <c r="N568" s="1483"/>
      <c r="O568" s="1483"/>
      <c r="P568" s="1483"/>
      <c r="Q568" s="1483"/>
      <c r="R568" s="1483"/>
      <c r="S568" s="8"/>
      <c r="T568" s="55" t="s">
        <v>113</v>
      </c>
      <c r="U568" t="s">
        <v>464</v>
      </c>
      <c r="Z568" s="1483" t="str">
        <f>C555</f>
        <v>Tax Exempt Seller's Note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2742</v>
      </c>
      <c r="H569" s="1407"/>
      <c r="I569" s="1407"/>
      <c r="J569" s="1407"/>
      <c r="K569" s="1407"/>
      <c r="L569" s="1407"/>
      <c r="M569" s="1407"/>
      <c r="N569" s="1407"/>
      <c r="O569" s="1407"/>
      <c r="P569" s="1407"/>
      <c r="Q569" s="1407"/>
      <c r="R569" s="1407"/>
      <c r="S569" s="8"/>
      <c r="T569" s="22"/>
      <c r="U569" t="s">
        <v>85</v>
      </c>
      <c r="Z569" s="1407" t="s">
        <v>2623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2743</v>
      </c>
      <c r="H570" s="1407"/>
      <c r="I570" s="1407"/>
      <c r="J570" s="1407"/>
      <c r="K570" s="1407"/>
      <c r="L570" s="1407"/>
      <c r="M570" s="1407"/>
      <c r="N570" s="1407"/>
      <c r="O570" s="1407"/>
      <c r="P570" s="1407"/>
      <c r="Q570" s="1407"/>
      <c r="R570" s="1407"/>
      <c r="T570" s="22"/>
      <c r="U570" t="s">
        <v>581</v>
      </c>
      <c r="Z570" s="1371" t="s">
        <v>2747</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2744</v>
      </c>
      <c r="H571" s="1407"/>
      <c r="I571" s="1407"/>
      <c r="J571" s="1407"/>
      <c r="K571" s="1407"/>
      <c r="L571" s="1407"/>
      <c r="M571" s="1407"/>
      <c r="N571" s="1407"/>
      <c r="O571" s="1407"/>
      <c r="P571" s="1407"/>
      <c r="Q571" s="1407"/>
      <c r="R571" s="1407"/>
      <c r="S571" s="8"/>
      <c r="T571" s="22"/>
      <c r="U571" t="s">
        <v>17</v>
      </c>
      <c r="Z571" s="1371" t="s">
        <v>2643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2745</v>
      </c>
      <c r="H572" s="1487"/>
      <c r="I572" s="1487"/>
      <c r="J572" s="1487"/>
      <c r="K572" s="1487"/>
      <c r="L572" s="1487"/>
      <c r="O572" s="33" t="s">
        <v>206</v>
      </c>
      <c r="P572" s="1471"/>
      <c r="Q572" s="1471"/>
      <c r="R572" s="1471"/>
      <c r="S572" s="10"/>
      <c r="T572" s="22"/>
      <c r="U572" t="s">
        <v>316</v>
      </c>
      <c r="Z572" s="1574" t="s">
        <v>2644</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2746</v>
      </c>
      <c r="I573" s="1407"/>
      <c r="J573" s="1407"/>
      <c r="K573" s="1407"/>
      <c r="L573" s="1407"/>
      <c r="M573" s="1407"/>
      <c r="N573" s="1407"/>
      <c r="O573" s="1407"/>
      <c r="P573" s="1407"/>
      <c r="Q573" s="1407"/>
      <c r="R573" s="1407"/>
      <c r="S573" s="8"/>
      <c r="T573" s="22"/>
      <c r="U573" t="s">
        <v>18</v>
      </c>
      <c r="AA573" s="1407" t="s">
        <v>2735</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0"/>
      <c r="N574" s="1600"/>
      <c r="O574" s="1600"/>
      <c r="P574" s="1600"/>
      <c r="Q574" s="1600"/>
      <c r="R574" s="1600"/>
      <c r="S574" s="8"/>
      <c r="T574" s="22"/>
      <c r="U574" s="320" t="s">
        <v>1186</v>
      </c>
      <c r="AA574" s="8"/>
      <c r="AB574" s="8"/>
      <c r="AC574" s="8"/>
      <c r="AD574" s="8"/>
      <c r="AE574" s="8"/>
      <c r="AF574" s="1600" t="s">
        <v>2748</v>
      </c>
      <c r="AG574" s="1600"/>
      <c r="AH574" s="1600"/>
      <c r="AI574" s="1600"/>
      <c r="AJ574" s="1600"/>
      <c r="AK574" s="1600"/>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Citibank Recycled Tax Exempt Bonds Construction Loan</v>
      </c>
      <c r="H577" s="1483"/>
      <c r="I577" s="1483"/>
      <c r="J577" s="1483"/>
      <c r="K577" s="1483"/>
      <c r="L577" s="1483"/>
      <c r="M577" s="1483"/>
      <c r="N577" s="1483"/>
      <c r="O577" s="1483"/>
      <c r="P577" s="1483"/>
      <c r="Q577" s="1483"/>
      <c r="R577" s="1483"/>
      <c r="T577" s="55" t="s">
        <v>582</v>
      </c>
      <c r="U577" t="s">
        <v>464</v>
      </c>
      <c r="Z577" s="1483" t="str">
        <f>C557</f>
        <v>Citibank Taxable Construction Loan</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2742</v>
      </c>
      <c r="H578" s="1407"/>
      <c r="I578" s="1407"/>
      <c r="J578" s="1407"/>
      <c r="K578" s="1407"/>
      <c r="L578" s="1407"/>
      <c r="M578" s="1407"/>
      <c r="N578" s="1407"/>
      <c r="O578" s="1407"/>
      <c r="P578" s="1407"/>
      <c r="Q578" s="1407"/>
      <c r="R578" s="1407"/>
      <c r="T578" s="22"/>
      <c r="U578" t="s">
        <v>85</v>
      </c>
      <c r="Z578" s="1407" t="s">
        <v>2742</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2743</v>
      </c>
      <c r="H579" s="1371"/>
      <c r="I579" s="1371"/>
      <c r="J579" s="1371"/>
      <c r="K579" s="1371"/>
      <c r="L579" s="1371"/>
      <c r="M579" s="1371"/>
      <c r="N579" s="1371"/>
      <c r="O579" s="1371"/>
      <c r="P579" s="1371"/>
      <c r="Q579" s="1371"/>
      <c r="R579" s="1371"/>
      <c r="T579" s="22"/>
      <c r="U579" t="s">
        <v>581</v>
      </c>
      <c r="Z579" s="1371" t="s">
        <v>2743</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2744</v>
      </c>
      <c r="H580" s="1371"/>
      <c r="I580" s="1371"/>
      <c r="J580" s="1371"/>
      <c r="K580" s="1371"/>
      <c r="L580" s="1371"/>
      <c r="M580" s="1371"/>
      <c r="N580" s="1371"/>
      <c r="O580" s="1371"/>
      <c r="P580" s="1371"/>
      <c r="Q580" s="1371"/>
      <c r="R580" s="1371"/>
      <c r="T580" s="22"/>
      <c r="U580" t="s">
        <v>17</v>
      </c>
      <c r="Z580" s="1371" t="s">
        <v>2744</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2745</v>
      </c>
      <c r="H581" s="1487"/>
      <c r="I581" s="1487"/>
      <c r="J581" s="1487"/>
      <c r="K581" s="1487"/>
      <c r="L581" s="1487"/>
      <c r="O581" s="33" t="s">
        <v>206</v>
      </c>
      <c r="P581" s="1471"/>
      <c r="Q581" s="1471"/>
      <c r="R581" s="1471"/>
      <c r="T581" s="22"/>
      <c r="U581" t="s">
        <v>316</v>
      </c>
      <c r="Z581" s="1487" t="s">
        <v>2745</v>
      </c>
      <c r="AA581" s="1487"/>
      <c r="AB581" s="1487"/>
      <c r="AC581" s="1487"/>
      <c r="AD581" s="1487"/>
      <c r="AE581" s="1487"/>
      <c r="AH581" s="33" t="s">
        <v>206</v>
      </c>
      <c r="AI581" s="1471"/>
      <c r="AJ581" s="1471"/>
      <c r="AK581" s="1471"/>
      <c r="BB581" s="3"/>
      <c r="BC581" s="3"/>
    </row>
    <row r="582" spans="1:55" ht="12.95" customHeight="1">
      <c r="A582" s="22"/>
      <c r="B582" t="s">
        <v>18</v>
      </c>
      <c r="H582" s="1407" t="s">
        <v>2749</v>
      </c>
      <c r="I582" s="1407"/>
      <c r="J582" s="1407"/>
      <c r="K582" s="1407"/>
      <c r="L582" s="1407"/>
      <c r="M582" s="1407"/>
      <c r="N582" s="1407"/>
      <c r="O582" s="1407"/>
      <c r="P582" s="1407"/>
      <c r="Q582" s="1407"/>
      <c r="R582" s="1407"/>
      <c r="T582" s="22"/>
      <c r="U582" t="s">
        <v>18</v>
      </c>
      <c r="AA582" s="1407" t="s">
        <v>2750</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Deferred Developer Fee</v>
      </c>
      <c r="H585" s="1483"/>
      <c r="I585" s="1483"/>
      <c r="J585" s="1483"/>
      <c r="K585" s="1483"/>
      <c r="L585" s="1483"/>
      <c r="M585" s="1483"/>
      <c r="N585" s="1483"/>
      <c r="O585" s="1483"/>
      <c r="P585" s="1483"/>
      <c r="Q585" s="1483"/>
      <c r="R585" s="1483"/>
      <c r="T585" s="55" t="s">
        <v>585</v>
      </c>
      <c r="U585" t="s">
        <v>464</v>
      </c>
      <c r="Z585" s="1483" t="str">
        <f>C559</f>
        <v>Transfer of Project Reserves</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2751</v>
      </c>
      <c r="H586" s="1407"/>
      <c r="I586" s="1407"/>
      <c r="J586" s="1407"/>
      <c r="K586" s="1407"/>
      <c r="L586" s="1407"/>
      <c r="M586" s="1407"/>
      <c r="N586" s="1407"/>
      <c r="O586" s="1407"/>
      <c r="P586" s="1407"/>
      <c r="Q586" s="1407"/>
      <c r="R586" s="1407"/>
      <c r="T586" s="22"/>
      <c r="U586" t="s">
        <v>85</v>
      </c>
      <c r="Z586" s="1407" t="s">
        <v>2623</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2649</v>
      </c>
      <c r="H587" s="1407"/>
      <c r="I587" s="1407"/>
      <c r="J587" s="1407"/>
      <c r="K587" s="1407"/>
      <c r="L587" s="1407"/>
      <c r="M587" s="1407"/>
      <c r="N587" s="1407"/>
      <c r="O587" s="1407"/>
      <c r="P587" s="1407"/>
      <c r="Q587" s="1407"/>
      <c r="R587" s="1407"/>
      <c r="T587" s="22"/>
      <c r="U587" t="s">
        <v>581</v>
      </c>
      <c r="Z587" s="1371" t="s">
        <v>2747</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2615</v>
      </c>
      <c r="H588" s="1407"/>
      <c r="I588" s="1407"/>
      <c r="J588" s="1407"/>
      <c r="K588" s="1407"/>
      <c r="L588" s="1407"/>
      <c r="M588" s="1407"/>
      <c r="N588" s="1407"/>
      <c r="O588" s="1407"/>
      <c r="P588" s="1407"/>
      <c r="Q588" s="1407"/>
      <c r="R588" s="1407"/>
      <c r="T588" s="22"/>
      <c r="U588" t="s">
        <v>17</v>
      </c>
      <c r="Z588" s="1371" t="s">
        <v>2643</v>
      </c>
      <c r="AA588" s="1371"/>
      <c r="AB588" s="1371"/>
      <c r="AC588" s="1371"/>
      <c r="AD588" s="1371"/>
      <c r="AE588" s="1371"/>
      <c r="AF588" s="1371"/>
      <c r="AG588" s="1371"/>
      <c r="AH588" s="1371"/>
      <c r="AI588" s="1371"/>
      <c r="AJ588" s="1371"/>
      <c r="AK588" s="1371"/>
    </row>
    <row r="589" spans="1:55" ht="12.95" customHeight="1">
      <c r="A589" s="22"/>
      <c r="B589" t="s">
        <v>316</v>
      </c>
      <c r="G589" s="1487" t="s">
        <v>2629</v>
      </c>
      <c r="H589" s="1487"/>
      <c r="I589" s="1487"/>
      <c r="J589" s="1487"/>
      <c r="K589" s="1487"/>
      <c r="L589" s="1487"/>
      <c r="O589" s="33" t="s">
        <v>206</v>
      </c>
      <c r="P589" s="1471"/>
      <c r="Q589" s="1471"/>
      <c r="R589" s="1471"/>
      <c r="T589" s="22"/>
      <c r="U589" t="s">
        <v>316</v>
      </c>
      <c r="Z589" s="1574" t="s">
        <v>2644</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2323</v>
      </c>
      <c r="I590" s="1407"/>
      <c r="J590" s="1407"/>
      <c r="K590" s="1407"/>
      <c r="L590" s="1407"/>
      <c r="M590" s="1407"/>
      <c r="N590" s="1407"/>
      <c r="O590" s="1407"/>
      <c r="P590" s="1407"/>
      <c r="Q590" s="1407"/>
      <c r="R590" s="1407"/>
      <c r="T590" s="22"/>
      <c r="U590" t="s">
        <v>18</v>
      </c>
      <c r="AA590" s="1407" t="s">
        <v>2738</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 xml:space="preserve">NOI During Construction </v>
      </c>
      <c r="H593" s="1483"/>
      <c r="I593" s="1483"/>
      <c r="J593" s="1483"/>
      <c r="K593" s="1483"/>
      <c r="L593" s="1483"/>
      <c r="M593" s="1483"/>
      <c r="N593" s="1483"/>
      <c r="O593" s="1483"/>
      <c r="P593" s="1483"/>
      <c r="Q593" s="1483"/>
      <c r="R593" s="1483"/>
      <c r="T593" s="55" t="s">
        <v>457</v>
      </c>
      <c r="U593" t="s">
        <v>464</v>
      </c>
      <c r="Z593" s="1483" t="str">
        <f>C561</f>
        <v>Deferred Reserves</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2751</v>
      </c>
      <c r="H594" s="1407"/>
      <c r="I594" s="1407"/>
      <c r="J594" s="1407"/>
      <c r="K594" s="1407"/>
      <c r="L594" s="1407"/>
      <c r="M594" s="1407"/>
      <c r="N594" s="1407"/>
      <c r="O594" s="1407"/>
      <c r="P594" s="1407"/>
      <c r="Q594" s="1407"/>
      <c r="R594" s="1407"/>
      <c r="S594"/>
      <c r="T594" s="22"/>
      <c r="U594" t="s">
        <v>85</v>
      </c>
      <c r="V594"/>
      <c r="W594"/>
      <c r="X594"/>
      <c r="Y594"/>
      <c r="Z594" s="1407" t="s">
        <v>2751</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2649</v>
      </c>
      <c r="H595" s="1407"/>
      <c r="I595" s="1407"/>
      <c r="J595" s="1407"/>
      <c r="K595" s="1407"/>
      <c r="L595" s="1407"/>
      <c r="M595" s="1407"/>
      <c r="N595" s="1407"/>
      <c r="O595" s="1407"/>
      <c r="P595" s="1407"/>
      <c r="Q595" s="1407"/>
      <c r="R595" s="1407"/>
      <c r="S595"/>
      <c r="T595" s="22"/>
      <c r="U595" t="s">
        <v>581</v>
      </c>
      <c r="V595"/>
      <c r="W595"/>
      <c r="X595"/>
      <c r="Y595"/>
      <c r="Z595" s="1371" t="s">
        <v>2649</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2615</v>
      </c>
      <c r="H596" s="1407"/>
      <c r="I596" s="1407"/>
      <c r="J596" s="1407"/>
      <c r="K596" s="1407"/>
      <c r="L596" s="1407"/>
      <c r="M596" s="1407"/>
      <c r="N596" s="1407"/>
      <c r="O596" s="1407"/>
      <c r="P596" s="1407"/>
      <c r="Q596" s="1407"/>
      <c r="R596" s="1407"/>
      <c r="S596"/>
      <c r="T596" s="22"/>
      <c r="U596" t="s">
        <v>17</v>
      </c>
      <c r="V596"/>
      <c r="W596"/>
      <c r="X596"/>
      <c r="Y596"/>
      <c r="Z596" s="1371" t="s">
        <v>2615</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t="s">
        <v>2629</v>
      </c>
      <c r="H597" s="1487"/>
      <c r="I597" s="1487"/>
      <c r="J597" s="1487"/>
      <c r="K597" s="1487"/>
      <c r="L597" s="1487"/>
      <c r="M597"/>
      <c r="N597"/>
      <c r="O597" s="33" t="s">
        <v>206</v>
      </c>
      <c r="P597" s="1471"/>
      <c r="Q597" s="1471"/>
      <c r="R597" s="1471"/>
      <c r="S597"/>
      <c r="T597" s="22"/>
      <c r="U597" t="s">
        <v>316</v>
      </c>
      <c r="V597"/>
      <c r="W597"/>
      <c r="X597"/>
      <c r="Y597"/>
      <c r="Z597" s="1487" t="s">
        <v>2629</v>
      </c>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2123</v>
      </c>
      <c r="I598" s="1407"/>
      <c r="J598" s="1407"/>
      <c r="K598" s="1407"/>
      <c r="L598" s="1407"/>
      <c r="M598" s="1407"/>
      <c r="N598" s="1407"/>
      <c r="O598" s="1407"/>
      <c r="P598" s="1407"/>
      <c r="Q598" s="1407"/>
      <c r="R598" s="1407"/>
      <c r="S598"/>
      <c r="T598" s="22"/>
      <c r="U598" t="s">
        <v>18</v>
      </c>
      <c r="V598"/>
      <c r="W598"/>
      <c r="X598"/>
      <c r="Y598"/>
      <c r="Z598"/>
      <c r="AA598" s="1407" t="s">
        <v>2752</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t="s">
        <v>546</v>
      </c>
      <c r="AH599" s="1415"/>
      <c r="BB599" s="3"/>
      <c r="BC599" s="3"/>
    </row>
    <row r="600" spans="1:55" ht="12.95" customHeight="1">
      <c r="A600" s="22"/>
      <c r="T600" s="22"/>
      <c r="BB600" s="3"/>
      <c r="BC600" s="3"/>
    </row>
    <row r="601" spans="1:55" ht="12.95" customHeight="1">
      <c r="A601" s="55" t="s">
        <v>462</v>
      </c>
      <c r="B601" t="s">
        <v>464</v>
      </c>
      <c r="G601" s="1483" t="str">
        <f>C562</f>
        <v>NEF Tax Credit Equity</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t="s">
        <v>2685</v>
      </c>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t="s">
        <v>2652</v>
      </c>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t="s">
        <v>2686</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t="s">
        <v>2687</v>
      </c>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t="s">
        <v>2753</v>
      </c>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546</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0" t="s">
        <v>2104</v>
      </c>
      <c r="C624" s="1670"/>
      <c r="D624" s="1670"/>
      <c r="E624" s="1670"/>
      <c r="F624" s="1670"/>
      <c r="G624" s="1670"/>
      <c r="H624" s="1670"/>
      <c r="I624" s="1670"/>
      <c r="J624" s="1670"/>
      <c r="K624" s="1670"/>
      <c r="L624" s="1670"/>
      <c r="M624" s="1675" t="s">
        <v>2105</v>
      </c>
      <c r="N624" s="1675"/>
      <c r="O624" s="1675"/>
      <c r="P624" s="1675"/>
      <c r="Q624" s="1675" t="s">
        <v>1854</v>
      </c>
      <c r="R624" s="1675"/>
      <c r="S624" s="1675"/>
      <c r="T624" s="1675" t="s">
        <v>1852</v>
      </c>
      <c r="U624" s="1675"/>
      <c r="V624" s="1675"/>
      <c r="W624" s="1671" t="s">
        <v>454</v>
      </c>
      <c r="X624" s="1671"/>
      <c r="Y624" s="1671"/>
      <c r="Z624" s="1397" t="s">
        <v>2134</v>
      </c>
      <c r="AA624" s="1397"/>
      <c r="AB624" s="1398"/>
      <c r="AC624" s="1676" t="s">
        <v>1677</v>
      </c>
      <c r="AD624" s="1677"/>
      <c r="AE624" s="1678"/>
      <c r="AF624" s="1396" t="s">
        <v>1932</v>
      </c>
      <c r="AG624" s="1397"/>
      <c r="AH624" s="1397"/>
      <c r="AI624" s="1397"/>
      <c r="AJ624" s="1398"/>
      <c r="AK624" s="1591" t="s">
        <v>1933</v>
      </c>
      <c r="AL624" s="1592"/>
      <c r="AM624" s="1592"/>
      <c r="AN624" s="1593"/>
      <c r="AO624" s="1675" t="s">
        <v>455</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26.25" customHeight="1">
      <c r="B627" s="51" t="s">
        <v>112</v>
      </c>
      <c r="C627" s="1479" t="s">
        <v>2754</v>
      </c>
      <c r="D627" s="1479"/>
      <c r="E627" s="1479"/>
      <c r="F627" s="1479"/>
      <c r="G627" s="1479"/>
      <c r="H627" s="1479"/>
      <c r="I627" s="1479"/>
      <c r="J627" s="1479"/>
      <c r="K627" s="1479"/>
      <c r="L627" s="1479"/>
      <c r="M627" s="1493" t="s">
        <v>2121</v>
      </c>
      <c r="N627" s="1493"/>
      <c r="O627" s="1493"/>
      <c r="P627" s="1493"/>
      <c r="Q627" s="1510">
        <f>18*12</f>
        <v>216</v>
      </c>
      <c r="R627" s="1510"/>
      <c r="S627" s="1511"/>
      <c r="T627" s="1509">
        <f>35*12</f>
        <v>420</v>
      </c>
      <c r="U627" s="1510"/>
      <c r="V627" s="1511"/>
      <c r="W627" s="1480">
        <v>6.7000000000000004E-2</v>
      </c>
      <c r="X627" s="1481"/>
      <c r="Y627" s="1482"/>
      <c r="Z627" s="1476" t="s">
        <v>2133</v>
      </c>
      <c r="AA627" s="1477"/>
      <c r="AB627" s="1478"/>
      <c r="AC627" s="1381">
        <v>1</v>
      </c>
      <c r="AD627" s="1382"/>
      <c r="AE627" s="1383"/>
      <c r="AF627" s="1490">
        <v>1881286</v>
      </c>
      <c r="AG627" s="1491"/>
      <c r="AH627" s="1491"/>
      <c r="AI627" s="1491"/>
      <c r="AJ627" s="1492"/>
      <c r="AK627" s="1484"/>
      <c r="AL627" s="1485"/>
      <c r="AM627" s="1485"/>
      <c r="AN627" s="1486"/>
      <c r="AO627" s="1639">
        <v>25370000</v>
      </c>
      <c r="AP627" s="1639"/>
      <c r="AQ627" s="1639"/>
      <c r="AR627" s="1639"/>
      <c r="AS627" s="1639"/>
      <c r="AT627" s="3"/>
      <c r="AU627" s="3"/>
      <c r="AZ627" s="3"/>
      <c r="BA627" s="3"/>
      <c r="BB627" s="3"/>
      <c r="BC627" s="3"/>
      <c r="BD627" s="3"/>
    </row>
    <row r="628" spans="2:157" ht="27.75" customHeight="1">
      <c r="B628" s="52" t="s">
        <v>113</v>
      </c>
      <c r="C628" s="1479" t="s">
        <v>2755</v>
      </c>
      <c r="D628" s="1479"/>
      <c r="E628" s="1479"/>
      <c r="F628" s="1479"/>
      <c r="G628" s="1479"/>
      <c r="H628" s="1479"/>
      <c r="I628" s="1479"/>
      <c r="J628" s="1479"/>
      <c r="K628" s="1479"/>
      <c r="L628" s="1479"/>
      <c r="M628" s="1493" t="s">
        <v>2118</v>
      </c>
      <c r="N628" s="1493"/>
      <c r="O628" s="1493"/>
      <c r="P628" s="1493"/>
      <c r="Q628" s="1509">
        <f>58*12</f>
        <v>696</v>
      </c>
      <c r="R628" s="1510"/>
      <c r="S628" s="1511"/>
      <c r="T628" s="1509"/>
      <c r="U628" s="1510"/>
      <c r="V628" s="1511"/>
      <c r="W628" s="1480">
        <v>4.6100000000000002E-2</v>
      </c>
      <c r="X628" s="1481"/>
      <c r="Y628" s="1482"/>
      <c r="Z628" s="1476" t="s">
        <v>458</v>
      </c>
      <c r="AA628" s="1477"/>
      <c r="AB628" s="1478"/>
      <c r="AC628" s="1381">
        <v>2</v>
      </c>
      <c r="AD628" s="1382"/>
      <c r="AE628" s="1383"/>
      <c r="AF628" s="1490"/>
      <c r="AG628" s="1491"/>
      <c r="AH628" s="1491"/>
      <c r="AI628" s="1491"/>
      <c r="AJ628" s="1492"/>
      <c r="AK628" s="1484"/>
      <c r="AL628" s="1485"/>
      <c r="AM628" s="1485"/>
      <c r="AN628" s="1486"/>
      <c r="AO628" s="1475">
        <v>60470000</v>
      </c>
      <c r="AP628" s="1338"/>
      <c r="AQ628" s="1338"/>
      <c r="AR628" s="1338"/>
      <c r="AS628" s="1339"/>
      <c r="AT628" s="1148" t="str">
        <f>IF(AND(NOT(C627=""),C628="",NOT(C629="")),"!","")</f>
        <v/>
      </c>
      <c r="AU628" s="3"/>
      <c r="AZ628" s="3"/>
      <c r="BA628" s="3"/>
      <c r="BB628" s="3"/>
      <c r="BC628" s="3"/>
      <c r="BD628" s="3"/>
    </row>
    <row r="629" spans="2:157" ht="39" customHeight="1">
      <c r="B629" s="52" t="s">
        <v>119</v>
      </c>
      <c r="C629" s="1479" t="s">
        <v>2323</v>
      </c>
      <c r="D629" s="1479"/>
      <c r="E629" s="1479"/>
      <c r="F629" s="1479"/>
      <c r="G629" s="1479"/>
      <c r="H629" s="1479"/>
      <c r="I629" s="1479"/>
      <c r="J629" s="1479"/>
      <c r="K629" s="1479"/>
      <c r="L629" s="1479"/>
      <c r="M629" s="1493" t="s">
        <v>2108</v>
      </c>
      <c r="N629" s="1493"/>
      <c r="O629" s="1493"/>
      <c r="P629" s="1493"/>
      <c r="Q629" s="1509"/>
      <c r="R629" s="1510"/>
      <c r="S629" s="1511"/>
      <c r="T629" s="1509"/>
      <c r="U629" s="1510"/>
      <c r="V629" s="1511"/>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v>11500000</v>
      </c>
      <c r="AP629" s="1338"/>
      <c r="AQ629" s="1338"/>
      <c r="AR629" s="1338"/>
      <c r="AS629" s="1339"/>
      <c r="AT629" s="1148" t="str">
        <f t="shared" ref="AT629:AT638" si="1">IF(AND(NOT(C628=""),C629="",NOT(C630="")),"!","")</f>
        <v/>
      </c>
      <c r="AU629" s="3"/>
      <c r="AZ629" s="3"/>
      <c r="BA629" s="3"/>
      <c r="BB629" s="3"/>
      <c r="BC629" s="3"/>
      <c r="BD629" s="3"/>
    </row>
    <row r="630" spans="2:157" ht="29.25" customHeight="1">
      <c r="B630" s="52" t="s">
        <v>582</v>
      </c>
      <c r="C630" s="1489" t="str">
        <f>C559</f>
        <v>Transfer of Project Reserves</v>
      </c>
      <c r="D630" s="1489"/>
      <c r="E630" s="1489"/>
      <c r="F630" s="1489"/>
      <c r="G630" s="1489"/>
      <c r="H630" s="1489"/>
      <c r="I630" s="1489"/>
      <c r="J630" s="1489"/>
      <c r="K630" s="1489"/>
      <c r="L630" s="1489"/>
      <c r="M630" s="1493" t="s">
        <v>2125</v>
      </c>
      <c r="N630" s="1493"/>
      <c r="O630" s="1493"/>
      <c r="P630" s="1493"/>
      <c r="Q630" s="1509"/>
      <c r="R630" s="1510"/>
      <c r="S630" s="1511"/>
      <c r="T630" s="1509"/>
      <c r="U630" s="1510"/>
      <c r="V630" s="1511"/>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1600000</v>
      </c>
      <c r="AP630" s="1338"/>
      <c r="AQ630" s="1338"/>
      <c r="AR630" s="1338"/>
      <c r="AS630" s="1339"/>
      <c r="AT630" s="1148" t="str">
        <f t="shared" si="1"/>
        <v/>
      </c>
      <c r="AU630" s="3"/>
      <c r="AZ630" s="3"/>
      <c r="BA630" s="3"/>
      <c r="BB630" s="3"/>
      <c r="BC630" s="3"/>
      <c r="BD630" s="3"/>
    </row>
    <row r="631" spans="2:157" ht="39" customHeight="1">
      <c r="B631" s="52" t="s">
        <v>764</v>
      </c>
      <c r="C631" s="1489" t="str">
        <f>C560</f>
        <v xml:space="preserve">NOI During Construction </v>
      </c>
      <c r="D631" s="1489"/>
      <c r="E631" s="1489"/>
      <c r="F631" s="1489"/>
      <c r="G631" s="1489"/>
      <c r="H631" s="1489"/>
      <c r="I631" s="1489"/>
      <c r="J631" s="1489"/>
      <c r="K631" s="1489"/>
      <c r="L631" s="1489"/>
      <c r="M631" s="1493" t="s">
        <v>2123</v>
      </c>
      <c r="N631" s="1493"/>
      <c r="O631" s="1493"/>
      <c r="P631" s="1493"/>
      <c r="Q631" s="1509"/>
      <c r="R631" s="1510"/>
      <c r="S631" s="1511"/>
      <c r="T631" s="1509"/>
      <c r="U631" s="1510"/>
      <c r="V631" s="1511"/>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v>3800000</v>
      </c>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9"/>
      <c r="R632" s="1510"/>
      <c r="S632" s="1511"/>
      <c r="T632" s="1509"/>
      <c r="U632" s="1510"/>
      <c r="V632" s="1511"/>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9"/>
      <c r="R633" s="1510"/>
      <c r="S633" s="1511"/>
      <c r="T633" s="1509"/>
      <c r="U633" s="1510"/>
      <c r="V633" s="1511"/>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9"/>
      <c r="R634" s="1510"/>
      <c r="S634" s="1511"/>
      <c r="T634" s="1509"/>
      <c r="U634" s="1510"/>
      <c r="V634" s="1511"/>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9"/>
      <c r="R635" s="1510"/>
      <c r="S635" s="1511"/>
      <c r="T635" s="1509"/>
      <c r="U635" s="1510"/>
      <c r="V635" s="1511"/>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29.719626168224298</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9"/>
      <c r="R636" s="1510"/>
      <c r="S636" s="1511"/>
      <c r="T636" s="1509"/>
      <c r="U636" s="1510"/>
      <c r="V636" s="1511"/>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52.009345794392516</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9"/>
      <c r="R637" s="1510"/>
      <c r="S637" s="1511"/>
      <c r="T637" s="1509"/>
      <c r="U637" s="1510"/>
      <c r="V637" s="1511"/>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f t="shared" si="2"/>
        <v>334.34579439252337</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9"/>
      <c r="R638" s="1510"/>
      <c r="S638" s="1511"/>
      <c r="T638" s="1509"/>
      <c r="U638" s="1510"/>
      <c r="V638" s="1511"/>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f t="shared" si="2"/>
        <v>99.065420560747654</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102740000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f t="shared" si="2"/>
        <v>185.74766355140184</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57560000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f t="shared" si="2"/>
        <v>44.579439252336449</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160300000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f t="shared" si="2"/>
        <v>267.47663551401865</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f t="shared" si="2"/>
        <v>79.252336448598129</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Citibank Permanent Loan</v>
      </c>
      <c r="H643" s="1483"/>
      <c r="I643" s="1483"/>
      <c r="J643" s="1483"/>
      <c r="K643" s="1483"/>
      <c r="L643" s="1483"/>
      <c r="M643" s="1483"/>
      <c r="N643" s="1483"/>
      <c r="O643" s="1483"/>
      <c r="P643" s="1483"/>
      <c r="Q643" s="1483"/>
      <c r="R643" s="1483"/>
      <c r="S643" s="8"/>
      <c r="T643" s="55" t="s">
        <v>113</v>
      </c>
      <c r="U643" t="s">
        <v>464</v>
      </c>
      <c r="Z643" s="1483" t="str">
        <f>C628</f>
        <v>Tax-Exempt Seller's Note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f t="shared" si="2"/>
        <v>19.813084112149532</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2742</v>
      </c>
      <c r="H644" s="1407"/>
      <c r="I644" s="1407"/>
      <c r="J644" s="1407"/>
      <c r="K644" s="1407"/>
      <c r="L644" s="1407"/>
      <c r="M644" s="1407"/>
      <c r="N644" s="1407"/>
      <c r="O644" s="1407"/>
      <c r="P644" s="1407"/>
      <c r="Q644" s="1407"/>
      <c r="R644" s="1407"/>
      <c r="S644" s="8"/>
      <c r="T644" s="22"/>
      <c r="U644" t="s">
        <v>85</v>
      </c>
      <c r="Z644" s="1407" t="s">
        <v>2623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f t="shared" si="3"/>
        <v>426</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2743</v>
      </c>
      <c r="H645" s="1407"/>
      <c r="I645" s="1407"/>
      <c r="J645" s="1407"/>
      <c r="K645" s="1407"/>
      <c r="L645" s="1407"/>
      <c r="M645" s="1407"/>
      <c r="N645" s="1407"/>
      <c r="O645" s="1407"/>
      <c r="P645" s="1407"/>
      <c r="Q645" s="1407"/>
      <c r="R645" s="1407"/>
      <c r="T645" s="22"/>
      <c r="U645" t="s">
        <v>581</v>
      </c>
      <c r="Z645" s="1371" t="s">
        <v>2747</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f t="shared" si="3"/>
        <v>32.272727272727273</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2744</v>
      </c>
      <c r="H646" s="1407"/>
      <c r="I646" s="1407"/>
      <c r="J646" s="1407"/>
      <c r="K646" s="1407"/>
      <c r="L646" s="1407"/>
      <c r="M646" s="1407"/>
      <c r="N646" s="1407"/>
      <c r="O646" s="1407"/>
      <c r="P646" s="1407"/>
      <c r="Q646" s="1407"/>
      <c r="R646" s="1407"/>
      <c r="S646" s="8"/>
      <c r="T646" s="22"/>
      <c r="U646" t="s">
        <v>17</v>
      </c>
      <c r="Z646" s="1371" t="s">
        <v>2643</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f t="shared" si="3"/>
        <v>484.09090909090907</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2745</v>
      </c>
      <c r="H647" s="1487"/>
      <c r="I647" s="1487"/>
      <c r="J647" s="1487"/>
      <c r="K647" s="1487"/>
      <c r="L647" s="1487"/>
      <c r="O647" s="33" t="s">
        <v>206</v>
      </c>
      <c r="P647" s="1471"/>
      <c r="Q647" s="1471"/>
      <c r="R647" s="1471"/>
      <c r="S647" s="10"/>
      <c r="T647" s="22"/>
      <c r="U647" t="s">
        <v>316</v>
      </c>
      <c r="Z647" s="1487" t="s">
        <v>2644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f t="shared" si="3"/>
        <v>116.18181818181817</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2756</v>
      </c>
      <c r="I648" s="1407"/>
      <c r="J648" s="1407"/>
      <c r="K648" s="1407"/>
      <c r="L648" s="1407"/>
      <c r="M648" s="1407"/>
      <c r="N648" s="1407"/>
      <c r="O648" s="1407"/>
      <c r="P648" s="1407"/>
      <c r="Q648" s="1407"/>
      <c r="R648" s="1407"/>
      <c r="S648" s="8"/>
      <c r="T648" s="22"/>
      <c r="U648" t="s">
        <v>18</v>
      </c>
      <c r="AA648" s="1407" t="s">
        <v>2757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f t="shared" si="3"/>
        <v>38.727272727272727</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f t="shared" si="3"/>
        <v>103.27272727272728</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f t="shared" si="4"/>
        <v>204.4</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t="str">
        <f>C630</f>
        <v>Transfer of Project Reserves</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f t="shared" si="4"/>
        <v>170.3</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2751</v>
      </c>
      <c r="H652" s="1407"/>
      <c r="I652" s="1407"/>
      <c r="J652" s="1407"/>
      <c r="K652" s="1407"/>
      <c r="L652" s="1407"/>
      <c r="M652" s="1407"/>
      <c r="N652" s="1407"/>
      <c r="O652" s="1407"/>
      <c r="P652" s="1407"/>
      <c r="Q652" s="1407"/>
      <c r="R652" s="1407"/>
      <c r="T652" s="22"/>
      <c r="U652" t="s">
        <v>85</v>
      </c>
      <c r="Z652" s="1407" t="s">
        <v>2623</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f t="shared" si="4"/>
        <v>851.5</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2649</v>
      </c>
      <c r="H653" s="1371"/>
      <c r="I653" s="1371"/>
      <c r="J653" s="1371"/>
      <c r="K653" s="1371"/>
      <c r="L653" s="1371"/>
      <c r="M653" s="1371"/>
      <c r="N653" s="1371"/>
      <c r="O653" s="1371"/>
      <c r="P653" s="1371"/>
      <c r="Q653" s="1371"/>
      <c r="R653" s="1371"/>
      <c r="T653" s="22"/>
      <c r="U653" t="s">
        <v>581</v>
      </c>
      <c r="Z653" s="1371" t="s">
        <v>2747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f t="shared" si="4"/>
        <v>408.8</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2615</v>
      </c>
      <c r="H654" s="1371"/>
      <c r="I654" s="1371"/>
      <c r="J654" s="1371"/>
      <c r="K654" s="1371"/>
      <c r="L654" s="1371"/>
      <c r="M654" s="1371"/>
      <c r="N654" s="1371"/>
      <c r="O654" s="1371"/>
      <c r="P654" s="1371"/>
      <c r="Q654" s="1371"/>
      <c r="R654" s="1371"/>
      <c r="T654" s="22"/>
      <c r="U654" t="s">
        <v>17</v>
      </c>
      <c r="Z654" s="1371" t="s">
        <v>2643</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t="s">
        <v>2629</v>
      </c>
      <c r="H655" s="1487"/>
      <c r="I655" s="1487"/>
      <c r="J655" s="1487"/>
      <c r="K655" s="1487"/>
      <c r="L655" s="1487"/>
      <c r="O655" s="33" t="s">
        <v>206</v>
      </c>
      <c r="P655" s="1471"/>
      <c r="Q655" s="1471"/>
      <c r="R655" s="1471"/>
      <c r="T655" s="22"/>
      <c r="U655" t="s">
        <v>316</v>
      </c>
      <c r="Z655" s="1487" t="s">
        <v>2644</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2323</v>
      </c>
      <c r="I656" s="1407"/>
      <c r="J656" s="1407"/>
      <c r="K656" s="1407"/>
      <c r="L656" s="1407"/>
      <c r="M656" s="1407"/>
      <c r="N656" s="1407"/>
      <c r="O656" s="1407"/>
      <c r="P656" s="1407"/>
      <c r="Q656" s="1407"/>
      <c r="R656" s="1407"/>
      <c r="T656" s="22"/>
      <c r="U656" t="s">
        <v>18</v>
      </c>
      <c r="AA656" s="1407" t="s">
        <v>2758</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t="str">
        <f>C631</f>
        <v xml:space="preserve">NOI During Construction </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2751</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t="s">
        <v>2649</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2615</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t="s">
        <v>2629</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2123</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546</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1112.0093457943924</v>
      </c>
      <c r="DY670" s="1369"/>
      <c r="DZ670" s="1369"/>
      <c r="EA670" s="1369"/>
      <c r="EB670" s="1369"/>
      <c r="EC670" s="1369">
        <f>SUMIF(EC635:EG669,"&gt;0")</f>
        <v>1200.5454545454545</v>
      </c>
      <c r="ED670" s="1369"/>
      <c r="EE670" s="1369"/>
      <c r="EF670" s="1369"/>
      <c r="EG670" s="1369"/>
      <c r="EH670" s="1369">
        <f>SUMIF(EH635:EL669,"&gt;0")</f>
        <v>1635</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7">
        <v>45797</v>
      </c>
      <c r="AF695" s="1507"/>
      <c r="AG695" s="1507"/>
      <c r="AH695" s="1507"/>
      <c r="AI695" s="1507"/>
    </row>
    <row r="696" spans="1:67" ht="12.95" customHeight="1">
      <c r="B696" s="135"/>
      <c r="C696" s="135"/>
      <c r="D696" s="317" t="s">
        <v>984</v>
      </c>
      <c r="E696" s="135"/>
      <c r="F696" s="135"/>
      <c r="G696" s="135"/>
      <c r="H696" s="135"/>
      <c r="AE696" s="1666">
        <v>45874</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06">
        <v>46006</v>
      </c>
      <c r="AF698" s="1507"/>
      <c r="AG698" s="1507"/>
      <c r="AH698" s="1507"/>
      <c r="AI698" s="1507"/>
    </row>
    <row r="699" spans="1:67" ht="12.95" customHeight="1">
      <c r="B699" s="135"/>
      <c r="C699" s="135"/>
      <c r="D699" s="136" t="s">
        <v>436</v>
      </c>
      <c r="E699" s="135"/>
      <c r="F699" s="135"/>
      <c r="G699" s="135"/>
      <c r="H699" s="135"/>
      <c r="AE699" s="1686">
        <v>0.52939999999999998</v>
      </c>
      <c r="AF699" s="1686"/>
      <c r="AG699" s="1686"/>
      <c r="AH699" s="1686"/>
      <c r="AI699" s="1686"/>
    </row>
    <row r="700" spans="1:67" ht="12.95" customHeight="1">
      <c r="B700" s="135"/>
      <c r="C700" s="135"/>
      <c r="D700" s="136" t="s">
        <v>437</v>
      </c>
      <c r="E700" s="135"/>
      <c r="F700" s="135"/>
      <c r="G700" s="135"/>
      <c r="H700" s="135"/>
      <c r="W700" s="1483" t="str">
        <f>H335</f>
        <v>California Housing Finance Agency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2" t="s">
        <v>1680</v>
      </c>
      <c r="L714" s="1513"/>
      <c r="M714" s="1513"/>
      <c r="N714" s="1514"/>
      <c r="O714" s="1494" t="s">
        <v>448</v>
      </c>
      <c r="P714" s="1495"/>
      <c r="Q714" s="1495"/>
      <c r="R714" s="1495"/>
      <c r="S714" s="1496"/>
      <c r="T714" s="1508" t="s">
        <v>1951</v>
      </c>
      <c r="U714" s="1495"/>
      <c r="V714" s="1495"/>
      <c r="W714" s="1496"/>
      <c r="X714" s="1508" t="s">
        <v>1953</v>
      </c>
      <c r="Y714" s="1495"/>
      <c r="Z714" s="1495"/>
      <c r="AA714" s="1495"/>
      <c r="AB714" s="1496"/>
      <c r="AC714" s="1508" t="s">
        <v>1952</v>
      </c>
      <c r="AD714" s="1495"/>
      <c r="AE714" s="1495"/>
      <c r="AF714" s="1495"/>
      <c r="AG714" s="1496"/>
      <c r="AH714" s="1508" t="s">
        <v>1954</v>
      </c>
      <c r="AI714" s="1495"/>
      <c r="AJ714" s="1496"/>
      <c r="AK714" s="1508"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5"/>
      <c r="L715" s="1516"/>
      <c r="M715" s="1516"/>
      <c r="N715" s="1517"/>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5"/>
      <c r="L716" s="1516"/>
      <c r="M716" s="1516"/>
      <c r="N716" s="1517"/>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5"/>
      <c r="L717" s="1516"/>
      <c r="M717" s="1516"/>
      <c r="N717" s="1517"/>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6" t="s">
        <v>634</v>
      </c>
      <c r="CQ717" s="1797"/>
      <c r="CR717" s="1797"/>
      <c r="CS717" s="1797"/>
      <c r="CT717" s="1798"/>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324</v>
      </c>
      <c r="C718" s="1356"/>
      <c r="D718" s="1356"/>
      <c r="E718" s="1356"/>
      <c r="F718" s="1357"/>
      <c r="G718" s="1364">
        <v>4</v>
      </c>
      <c r="H718" s="1365"/>
      <c r="I718" s="1365"/>
      <c r="J718" s="1366"/>
      <c r="K718" s="1605">
        <v>293</v>
      </c>
      <c r="L718" s="1606"/>
      <c r="M718" s="1606"/>
      <c r="N718" s="1607"/>
      <c r="O718" s="1468">
        <v>795</v>
      </c>
      <c r="P718" s="1469"/>
      <c r="Q718" s="1469"/>
      <c r="R718" s="1469"/>
      <c r="S718" s="1470"/>
      <c r="T718" s="1468">
        <v>0</v>
      </c>
      <c r="U718" s="1469"/>
      <c r="V718" s="1469"/>
      <c r="W718" s="1470"/>
      <c r="X718" s="1358">
        <f t="shared" ref="X718:X741" si="8">O718+T718</f>
        <v>795</v>
      </c>
      <c r="Y718" s="1359"/>
      <c r="Z718" s="1359"/>
      <c r="AA718" s="1359"/>
      <c r="AB718" s="1360"/>
      <c r="AC718" s="1614">
        <v>0.3</v>
      </c>
      <c r="AD718" s="1615"/>
      <c r="AE718" s="1615"/>
      <c r="AF718" s="1615"/>
      <c r="AG718" s="1616"/>
      <c r="AH718" s="1361">
        <f>IF($AC718&gt;0,($X718/$AZ718), "")</f>
        <v>0.3</v>
      </c>
      <c r="AI718" s="1362"/>
      <c r="AJ718" s="1363"/>
      <c r="AK718" s="1355" t="s">
        <v>592</v>
      </c>
      <c r="AL718" s="1356"/>
      <c r="AM718" s="1356"/>
      <c r="AN718" s="1356"/>
      <c r="AO718" s="1357"/>
      <c r="AP718" s="3"/>
      <c r="AQ718" s="3"/>
      <c r="AR718" s="3"/>
      <c r="AS718" s="3"/>
      <c r="AZ718" s="118">
        <f t="shared" ref="AZ718:AZ752" si="9">IF($G718=0,"N/A",VLOOKUP($T$189,TC_Rent,(MATCH($B718,bedrooms,FALSE)),FALSE))</f>
        <v>2650</v>
      </c>
      <c r="BA718" s="3"/>
      <c r="BB718" s="3"/>
      <c r="BC718" s="3"/>
      <c r="BD718" s="3"/>
      <c r="BE718" s="204"/>
      <c r="BF718" s="293">
        <f t="shared" ref="BF718:BF752" si="10">G718</f>
        <v>4</v>
      </c>
      <c r="BG718" s="297">
        <f t="shared" ref="BG718:BG752" si="11">IF($BF$753=0,0,BF718/$BF$753)</f>
        <v>2.4844720496894408E-2</v>
      </c>
      <c r="BH718" s="298">
        <f t="shared" ref="BH718:BH752" si="12">IF(BG718=0,"",BG718*AC718)</f>
        <v>7.453416149068322E-3</v>
      </c>
      <c r="BI718" s="3"/>
      <c r="BJ718" s="3"/>
      <c r="BK718" s="3"/>
      <c r="BL718" s="3"/>
      <c r="BM718" s="3"/>
      <c r="BN718" s="3"/>
      <c r="BS718" s="293">
        <f t="shared" ref="BS718:BS752" si="13">G718</f>
        <v>4</v>
      </c>
      <c r="BT718" s="297">
        <f t="shared" ref="BT718:BT752" si="14">IF($BS$753=0,0,BS718/$BS$753)</f>
        <v>2.4844720496894408E-2</v>
      </c>
      <c r="BU718" s="298">
        <f t="shared" ref="BU718:BU752" si="15">IF(BT718=0,"",BT718*AH718)</f>
        <v>7.453416149068322E-3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v>
      </c>
      <c r="CN718" s="1337"/>
      <c r="CO718" s="3"/>
      <c r="CP718" s="1332">
        <f t="shared" ref="CP718:CP752" si="18">IF(B718="SRO/Studio",G718,0)</f>
        <v>4</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4</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795</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7</v>
      </c>
      <c r="H719" s="1365"/>
      <c r="I719" s="1365"/>
      <c r="J719" s="1366"/>
      <c r="K719" s="1605">
        <v>293</v>
      </c>
      <c r="L719" s="1606"/>
      <c r="M719" s="1606"/>
      <c r="N719" s="1607"/>
      <c r="O719" s="1468">
        <v>795</v>
      </c>
      <c r="P719" s="1469"/>
      <c r="Q719" s="1469"/>
      <c r="R719" s="1469"/>
      <c r="S719" s="1470"/>
      <c r="T719" s="1468">
        <v>0</v>
      </c>
      <c r="U719" s="1469"/>
      <c r="V719" s="1469"/>
      <c r="W719" s="1470"/>
      <c r="X719" s="1358">
        <f t="shared" si="8"/>
        <v>795</v>
      </c>
      <c r="Y719" s="1359"/>
      <c r="Z719" s="1359"/>
      <c r="AA719" s="1359"/>
      <c r="AB719" s="1360"/>
      <c r="AC719" s="1614">
        <v>0.3</v>
      </c>
      <c r="AD719" s="1615"/>
      <c r="AE719" s="1615"/>
      <c r="AF719" s="1615"/>
      <c r="AG719" s="1616"/>
      <c r="AH719" s="1361">
        <f t="shared" ref="AH719:AH752" si="36">IF($AC719&gt;0,($X719/$AZ719), "")</f>
        <v>0.3</v>
      </c>
      <c r="AI719" s="1362"/>
      <c r="AJ719" s="1363"/>
      <c r="AK719" s="1355" t="s">
        <v>592</v>
      </c>
      <c r="AL719" s="1356"/>
      <c r="AM719" s="1356"/>
      <c r="AN719" s="1356"/>
      <c r="AO719" s="1357"/>
      <c r="AP719" s="3"/>
      <c r="AQ719" s="3"/>
      <c r="AR719" s="3"/>
      <c r="AS719" s="3"/>
      <c r="AZ719" s="118">
        <f t="shared" si="9"/>
        <v>2650</v>
      </c>
      <c r="BA719" s="3"/>
      <c r="BB719" s="3"/>
      <c r="BC719" s="3"/>
      <c r="BD719" s="3"/>
      <c r="BE719" s="204"/>
      <c r="BF719" s="294">
        <f t="shared" si="10"/>
        <v>7</v>
      </c>
      <c r="BG719" s="297">
        <f t="shared" si="11"/>
        <v>4.3478260869565216E-2</v>
      </c>
      <c r="BH719" s="298">
        <f t="shared" si="12"/>
        <v>1.3043478260869565E-2</v>
      </c>
      <c r="BI719" s="3"/>
      <c r="BJ719" s="3"/>
      <c r="BK719" s="3"/>
      <c r="BL719" s="3"/>
      <c r="BM719" s="3"/>
      <c r="BN719" s="3"/>
      <c r="BS719" s="294">
        <f t="shared" si="13"/>
        <v>7</v>
      </c>
      <c r="BT719" s="297">
        <f t="shared" si="14"/>
        <v>4.3478260869565216E-2</v>
      </c>
      <c r="BU719" s="298">
        <f t="shared" si="15"/>
        <v>1.3043478260869565E-2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7</v>
      </c>
      <c r="CN719" s="1337"/>
      <c r="CO719" s="3"/>
      <c r="CP719" s="1332">
        <f t="shared" si="18"/>
        <v>7</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7</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795</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45</v>
      </c>
      <c r="H720" s="1365"/>
      <c r="I720" s="1365"/>
      <c r="J720" s="1366"/>
      <c r="K720" s="1605">
        <v>293</v>
      </c>
      <c r="L720" s="1606"/>
      <c r="M720" s="1606"/>
      <c r="N720" s="1607"/>
      <c r="O720" s="1468">
        <v>795</v>
      </c>
      <c r="P720" s="1469"/>
      <c r="Q720" s="1469"/>
      <c r="R720" s="1469"/>
      <c r="S720" s="1470"/>
      <c r="T720" s="1468">
        <v>0</v>
      </c>
      <c r="U720" s="1469"/>
      <c r="V720" s="1469"/>
      <c r="W720" s="1470"/>
      <c r="X720" s="1358">
        <f t="shared" si="8"/>
        <v>795</v>
      </c>
      <c r="Y720" s="1359"/>
      <c r="Z720" s="1359"/>
      <c r="AA720" s="1359"/>
      <c r="AB720" s="1360"/>
      <c r="AC720" s="1614">
        <v>0.3</v>
      </c>
      <c r="AD720" s="1615"/>
      <c r="AE720" s="1615"/>
      <c r="AF720" s="1615"/>
      <c r="AG720" s="1616"/>
      <c r="AH720" s="1361">
        <f t="shared" si="36"/>
        <v>0.3</v>
      </c>
      <c r="AI720" s="1362"/>
      <c r="AJ720" s="1363"/>
      <c r="AK720" s="1355" t="s">
        <v>592</v>
      </c>
      <c r="AL720" s="1356"/>
      <c r="AM720" s="1356"/>
      <c r="AN720" s="1356"/>
      <c r="AO720" s="1357"/>
      <c r="AP720" s="3"/>
      <c r="AQ720" s="3"/>
      <c r="AR720" s="3"/>
      <c r="AS720" s="3"/>
      <c r="AZ720" s="118">
        <f t="shared" si="9"/>
        <v>2650</v>
      </c>
      <c r="BA720" s="3"/>
      <c r="BB720" s="3"/>
      <c r="BC720" s="3"/>
      <c r="BD720" s="3"/>
      <c r="BE720" s="204"/>
      <c r="BF720" s="294">
        <f t="shared" si="10"/>
        <v>45</v>
      </c>
      <c r="BG720" s="297">
        <f t="shared" si="11"/>
        <v>0.27950310559006208</v>
      </c>
      <c r="BH720" s="298">
        <f t="shared" si="12"/>
        <v>8.3850931677018625E-2</v>
      </c>
      <c r="BI720" s="3"/>
      <c r="BJ720" s="3"/>
      <c r="BK720" s="3"/>
      <c r="BL720" s="3"/>
      <c r="BM720" s="3"/>
      <c r="BN720" s="3"/>
      <c r="BS720" s="294">
        <f t="shared" si="13"/>
        <v>45</v>
      </c>
      <c r="BT720" s="297">
        <f t="shared" si="14"/>
        <v>0.27950310559006208</v>
      </c>
      <c r="BU720" s="298">
        <f t="shared" si="15"/>
        <v>8.3850931677018625E-2</v>
      </c>
      <c r="CC720" s="3"/>
      <c r="CD720" s="3"/>
      <c r="CE720" s="3"/>
      <c r="CF720" s="3"/>
      <c r="CG720" s="1351">
        <f t="shared" si="37"/>
        <v>0</v>
      </c>
      <c r="CH720" s="1353"/>
      <c r="CI720" s="1335">
        <f t="shared" si="38"/>
        <v>0</v>
      </c>
      <c r="CJ720" s="1337"/>
      <c r="CK720" s="1351">
        <f t="shared" si="16"/>
        <v>1</v>
      </c>
      <c r="CL720" s="1353"/>
      <c r="CM720" s="1335">
        <f t="shared" si="17"/>
        <v>45</v>
      </c>
      <c r="CN720" s="1337"/>
      <c r="CO720" s="3"/>
      <c r="CP720" s="1332">
        <f t="shared" si="18"/>
        <v>45</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45</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795</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324</v>
      </c>
      <c r="C721" s="1356"/>
      <c r="D721" s="1356"/>
      <c r="E721" s="1356"/>
      <c r="F721" s="1357"/>
      <c r="G721" s="1364">
        <v>10</v>
      </c>
      <c r="H721" s="1365"/>
      <c r="I721" s="1365"/>
      <c r="J721" s="1366"/>
      <c r="K721" s="1605">
        <v>293</v>
      </c>
      <c r="L721" s="1606"/>
      <c r="M721" s="1606"/>
      <c r="N721" s="1607"/>
      <c r="O721" s="1468">
        <v>1060</v>
      </c>
      <c r="P721" s="1469"/>
      <c r="Q721" s="1469"/>
      <c r="R721" s="1469"/>
      <c r="S721" s="1470"/>
      <c r="T721" s="1468">
        <v>0</v>
      </c>
      <c r="U721" s="1469"/>
      <c r="V721" s="1469"/>
      <c r="W721" s="1470"/>
      <c r="X721" s="1358">
        <f t="shared" si="8"/>
        <v>1060</v>
      </c>
      <c r="Y721" s="1359"/>
      <c r="Z721" s="1359"/>
      <c r="AA721" s="1359"/>
      <c r="AB721" s="1360"/>
      <c r="AC721" s="1614">
        <v>0.4</v>
      </c>
      <c r="AD721" s="1615"/>
      <c r="AE721" s="1615"/>
      <c r="AF721" s="1615"/>
      <c r="AG721" s="1616"/>
      <c r="AH721" s="1361">
        <f t="shared" si="36"/>
        <v>0.4</v>
      </c>
      <c r="AI721" s="1362"/>
      <c r="AJ721" s="1363"/>
      <c r="AK721" s="1355" t="s">
        <v>592</v>
      </c>
      <c r="AL721" s="1356"/>
      <c r="AM721" s="1356"/>
      <c r="AN721" s="1356"/>
      <c r="AO721" s="1357"/>
      <c r="AP721" s="3"/>
      <c r="AQ721" s="3"/>
      <c r="AR721" s="3"/>
      <c r="AS721" s="3"/>
      <c r="AY721" s="116"/>
      <c r="AZ721" s="118">
        <f t="shared" si="9"/>
        <v>2650</v>
      </c>
      <c r="BA721" s="3"/>
      <c r="BB721" s="3"/>
      <c r="BC721" s="3"/>
      <c r="BD721" s="3"/>
      <c r="BE721" s="204"/>
      <c r="BF721" s="294">
        <f t="shared" si="10"/>
        <v>10</v>
      </c>
      <c r="BG721" s="297">
        <f t="shared" si="11"/>
        <v>6.2111801242236024E-2</v>
      </c>
      <c r="BH721" s="298">
        <f t="shared" si="12"/>
        <v>2.4844720496894412E-2</v>
      </c>
      <c r="BI721" s="3"/>
      <c r="BJ721" s="3"/>
      <c r="BK721" s="3"/>
      <c r="BL721" s="3"/>
      <c r="BM721" s="3"/>
      <c r="BN721" s="3"/>
      <c r="BS721" s="294">
        <f t="shared" si="13"/>
        <v>10</v>
      </c>
      <c r="BT721" s="297">
        <f t="shared" si="14"/>
        <v>6.2111801242236024E-2</v>
      </c>
      <c r="BU721" s="298">
        <f t="shared" si="15"/>
        <v>2.4844720496894412E-2</v>
      </c>
      <c r="CC721" s="3"/>
      <c r="CD721" s="3"/>
      <c r="CE721" s="3"/>
      <c r="CF721" s="3"/>
      <c r="CG721" s="1351">
        <f t="shared" si="37"/>
        <v>1</v>
      </c>
      <c r="CH721" s="1353"/>
      <c r="CI721" s="1335">
        <f t="shared" si="38"/>
        <v>10</v>
      </c>
      <c r="CJ721" s="1337"/>
      <c r="CK721" s="1351">
        <f t="shared" si="16"/>
        <v>0</v>
      </c>
      <c r="CL721" s="1353"/>
      <c r="CM721" s="1335">
        <f t="shared" si="17"/>
        <v>0</v>
      </c>
      <c r="CN721" s="1337"/>
      <c r="CO721" s="3"/>
      <c r="CP721" s="1332">
        <f t="shared" si="18"/>
        <v>10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f t="shared" si="30"/>
        <v>1060</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324</v>
      </c>
      <c r="C722" s="1356"/>
      <c r="D722" s="1356"/>
      <c r="E722" s="1356"/>
      <c r="F722" s="1357"/>
      <c r="G722" s="1364">
        <v>15</v>
      </c>
      <c r="H722" s="1365"/>
      <c r="I722" s="1365"/>
      <c r="J722" s="1366"/>
      <c r="K722" s="1605">
        <v>293</v>
      </c>
      <c r="L722" s="1606"/>
      <c r="M722" s="1606"/>
      <c r="N722" s="1607"/>
      <c r="O722" s="1468">
        <v>1325</v>
      </c>
      <c r="P722" s="1469"/>
      <c r="Q722" s="1469"/>
      <c r="R722" s="1469"/>
      <c r="S722" s="1470"/>
      <c r="T722" s="1468">
        <v>0</v>
      </c>
      <c r="U722" s="1469"/>
      <c r="V722" s="1469"/>
      <c r="W722" s="1470"/>
      <c r="X722" s="1358">
        <f t="shared" si="8"/>
        <v>1325</v>
      </c>
      <c r="Y722" s="1359"/>
      <c r="Z722" s="1359"/>
      <c r="AA722" s="1359"/>
      <c r="AB722" s="1360"/>
      <c r="AC722" s="1614">
        <v>0.5</v>
      </c>
      <c r="AD722" s="1615"/>
      <c r="AE722" s="1615"/>
      <c r="AF722" s="1615"/>
      <c r="AG722" s="1616"/>
      <c r="AH722" s="1361">
        <f t="shared" si="36"/>
        <v>0.5</v>
      </c>
      <c r="AI722" s="1362"/>
      <c r="AJ722" s="1363"/>
      <c r="AK722" s="1355" t="s">
        <v>592</v>
      </c>
      <c r="AL722" s="1356"/>
      <c r="AM722" s="1356"/>
      <c r="AN722" s="1356"/>
      <c r="AO722" s="1357"/>
      <c r="AP722" s="3"/>
      <c r="AQ722" s="3"/>
      <c r="AR722" s="3"/>
      <c r="AS722" s="3"/>
      <c r="AY722" s="116"/>
      <c r="AZ722" s="118">
        <f t="shared" si="9"/>
        <v>2650</v>
      </c>
      <c r="BA722" s="3"/>
      <c r="BB722" s="3"/>
      <c r="BC722" s="3"/>
      <c r="BD722" s="3"/>
      <c r="BE722" s="204"/>
      <c r="BF722" s="294">
        <f t="shared" si="10"/>
        <v>15</v>
      </c>
      <c r="BG722" s="297">
        <f t="shared" si="11"/>
        <v>9.3167701863354033E-2</v>
      </c>
      <c r="BH722" s="298">
        <f t="shared" si="12"/>
        <v>4.6583850931677016E-2</v>
      </c>
      <c r="BI722" s="3"/>
      <c r="BJ722" s="3"/>
      <c r="BK722" s="3"/>
      <c r="BL722" s="3"/>
      <c r="BM722" s="3"/>
      <c r="BN722" s="3"/>
      <c r="BS722" s="294">
        <f t="shared" si="13"/>
        <v>15</v>
      </c>
      <c r="BT722" s="297">
        <f t="shared" si="14"/>
        <v>9.3167701863354033E-2</v>
      </c>
      <c r="BU722" s="298">
        <f t="shared" si="15"/>
        <v>4.6583850931677016E-2</v>
      </c>
      <c r="CC722" s="3"/>
      <c r="CD722" s="3"/>
      <c r="CE722" s="3"/>
      <c r="CF722" s="3"/>
      <c r="CG722" s="1351">
        <f t="shared" si="37"/>
        <v>1</v>
      </c>
      <c r="CH722" s="1353"/>
      <c r="CI722" s="1335">
        <f t="shared" si="38"/>
        <v>15</v>
      </c>
      <c r="CJ722" s="1337"/>
      <c r="CK722" s="1351">
        <f t="shared" si="16"/>
        <v>0</v>
      </c>
      <c r="CL722" s="1353"/>
      <c r="CM722" s="1335">
        <f t="shared" si="17"/>
        <v>0</v>
      </c>
      <c r="CN722" s="1337"/>
      <c r="CO722" s="3"/>
      <c r="CP722" s="1332">
        <f t="shared" si="18"/>
        <v>15</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f t="shared" si="30"/>
        <v>1325</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324</v>
      </c>
      <c r="C723" s="1356"/>
      <c r="D723" s="1356"/>
      <c r="E723" s="1356"/>
      <c r="F723" s="1357"/>
      <c r="G723" s="1364">
        <v>3</v>
      </c>
      <c r="H723" s="1365"/>
      <c r="I723" s="1365"/>
      <c r="J723" s="1366"/>
      <c r="K723" s="1605">
        <v>293</v>
      </c>
      <c r="L723" s="1606"/>
      <c r="M723" s="1606"/>
      <c r="N723" s="1607"/>
      <c r="O723" s="1468">
        <v>1590</v>
      </c>
      <c r="P723" s="1469"/>
      <c r="Q723" s="1469"/>
      <c r="R723" s="1469"/>
      <c r="S723" s="1470"/>
      <c r="T723" s="1468">
        <v>0</v>
      </c>
      <c r="U723" s="1469"/>
      <c r="V723" s="1469"/>
      <c r="W723" s="1470"/>
      <c r="X723" s="1358">
        <f t="shared" si="8"/>
        <v>1590</v>
      </c>
      <c r="Y723" s="1359"/>
      <c r="Z723" s="1359"/>
      <c r="AA723" s="1359"/>
      <c r="AB723" s="1360"/>
      <c r="AC723" s="1614">
        <v>0.6</v>
      </c>
      <c r="AD723" s="1615"/>
      <c r="AE723" s="1615"/>
      <c r="AF723" s="1615"/>
      <c r="AG723" s="1616"/>
      <c r="AH723" s="1361">
        <f t="shared" si="36"/>
        <v>0.6</v>
      </c>
      <c r="AI723" s="1362"/>
      <c r="AJ723" s="1363"/>
      <c r="AK723" s="1355" t="s">
        <v>592</v>
      </c>
      <c r="AL723" s="1356"/>
      <c r="AM723" s="1356"/>
      <c r="AN723" s="1356"/>
      <c r="AO723" s="1357"/>
      <c r="AP723" s="3"/>
      <c r="AQ723" s="3"/>
      <c r="AR723" s="3"/>
      <c r="AS723" s="3"/>
      <c r="AY723" s="116"/>
      <c r="AZ723" s="118">
        <f t="shared" si="9"/>
        <v>2650</v>
      </c>
      <c r="BA723" s="3"/>
      <c r="BB723" s="3"/>
      <c r="BC723" s="3"/>
      <c r="BD723" s="3"/>
      <c r="BE723" s="204"/>
      <c r="BF723" s="294">
        <f t="shared" si="10"/>
        <v>3</v>
      </c>
      <c r="BG723" s="297">
        <f t="shared" si="11"/>
        <v>1.8633540372670808E-2</v>
      </c>
      <c r="BH723" s="298">
        <f t="shared" si="12"/>
        <v>1.1180124223602485E-2</v>
      </c>
      <c r="BI723" s="3"/>
      <c r="BJ723" s="3"/>
      <c r="BK723" s="3"/>
      <c r="BL723" s="3"/>
      <c r="BM723" s="3"/>
      <c r="BN723" s="3"/>
      <c r="BS723" s="294">
        <f t="shared" si="13"/>
        <v>3</v>
      </c>
      <c r="BT723" s="297">
        <f t="shared" si="14"/>
        <v>1.8633540372670808E-2</v>
      </c>
      <c r="BU723" s="298">
        <f t="shared" si="15"/>
        <v>1.1180124223602485E-2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3</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f t="shared" si="30"/>
        <v>1590</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324</v>
      </c>
      <c r="C724" s="1356"/>
      <c r="D724" s="1356"/>
      <c r="E724" s="1356"/>
      <c r="F724" s="1357"/>
      <c r="G724" s="1364">
        <v>18</v>
      </c>
      <c r="H724" s="1365"/>
      <c r="I724" s="1365"/>
      <c r="J724" s="1366"/>
      <c r="K724" s="1605">
        <v>293</v>
      </c>
      <c r="L724" s="1606"/>
      <c r="M724" s="1606"/>
      <c r="N724" s="1607"/>
      <c r="O724" s="1468">
        <v>1590</v>
      </c>
      <c r="P724" s="1469"/>
      <c r="Q724" s="1469"/>
      <c r="R724" s="1469"/>
      <c r="S724" s="1470"/>
      <c r="T724" s="1468">
        <v>0</v>
      </c>
      <c r="U724" s="1469"/>
      <c r="V724" s="1469"/>
      <c r="W724" s="1470"/>
      <c r="X724" s="1358">
        <f t="shared" si="8"/>
        <v>1590</v>
      </c>
      <c r="Y724" s="1359"/>
      <c r="Z724" s="1359"/>
      <c r="AA724" s="1359"/>
      <c r="AB724" s="1360"/>
      <c r="AC724" s="1614">
        <v>0.6</v>
      </c>
      <c r="AD724" s="1615"/>
      <c r="AE724" s="1615"/>
      <c r="AF724" s="1615"/>
      <c r="AG724" s="1616"/>
      <c r="AH724" s="1361">
        <f t="shared" si="36"/>
        <v>0.6</v>
      </c>
      <c r="AI724" s="1362"/>
      <c r="AJ724" s="1363"/>
      <c r="AK724" s="1355" t="s">
        <v>592</v>
      </c>
      <c r="AL724" s="1356"/>
      <c r="AM724" s="1356"/>
      <c r="AN724" s="1356"/>
      <c r="AO724" s="1357"/>
      <c r="AP724" s="3"/>
      <c r="AQ724" s="3"/>
      <c r="AR724" s="3"/>
      <c r="AS724" s="3"/>
      <c r="AY724" s="116"/>
      <c r="AZ724" s="118">
        <f t="shared" si="9"/>
        <v>2650</v>
      </c>
      <c r="BA724" s="3"/>
      <c r="BB724" s="3"/>
      <c r="BC724" s="3"/>
      <c r="BD724" s="3"/>
      <c r="BE724" s="204"/>
      <c r="BF724" s="294">
        <f t="shared" si="10"/>
        <v>18</v>
      </c>
      <c r="BG724" s="297">
        <f t="shared" si="11"/>
        <v>0.11180124223602485</v>
      </c>
      <c r="BH724" s="298">
        <f t="shared" si="12"/>
        <v>6.70807453416149E-2</v>
      </c>
      <c r="BI724" s="3"/>
      <c r="BJ724" s="3"/>
      <c r="BK724" s="3"/>
      <c r="BL724" s="3"/>
      <c r="BM724" s="3"/>
      <c r="BN724" s="3"/>
      <c r="BS724" s="294">
        <f t="shared" si="13"/>
        <v>18</v>
      </c>
      <c r="BT724" s="297">
        <f t="shared" si="14"/>
        <v>0.11180124223602485</v>
      </c>
      <c r="BU724" s="298">
        <f t="shared" si="15"/>
        <v>6.70807453416149E-2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18</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f t="shared" si="30"/>
        <v>1590</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324</v>
      </c>
      <c r="C725" s="1356"/>
      <c r="D725" s="1356"/>
      <c r="E725" s="1356"/>
      <c r="F725" s="1357"/>
      <c r="G725" s="1364">
        <v>4</v>
      </c>
      <c r="H725" s="1365"/>
      <c r="I725" s="1365"/>
      <c r="J725" s="1366"/>
      <c r="K725" s="1605">
        <v>293</v>
      </c>
      <c r="L725" s="1606"/>
      <c r="M725" s="1606"/>
      <c r="N725" s="1607"/>
      <c r="O725" s="1468">
        <v>2120</v>
      </c>
      <c r="P725" s="1469"/>
      <c r="Q725" s="1469"/>
      <c r="R725" s="1469"/>
      <c r="S725" s="1470"/>
      <c r="T725" s="1468">
        <v>0</v>
      </c>
      <c r="U725" s="1469"/>
      <c r="V725" s="1469"/>
      <c r="W725" s="1470"/>
      <c r="X725" s="1358">
        <f t="shared" si="8"/>
        <v>2120</v>
      </c>
      <c r="Y725" s="1359"/>
      <c r="Z725" s="1359"/>
      <c r="AA725" s="1359"/>
      <c r="AB725" s="1360"/>
      <c r="AC725" s="1614">
        <v>0.8</v>
      </c>
      <c r="AD725" s="1615"/>
      <c r="AE725" s="1615"/>
      <c r="AF725" s="1615"/>
      <c r="AG725" s="1616"/>
      <c r="AH725" s="1361">
        <f t="shared" si="36"/>
        <v>0.8</v>
      </c>
      <c r="AI725" s="1362"/>
      <c r="AJ725" s="1363"/>
      <c r="AK725" s="1355" t="s">
        <v>592</v>
      </c>
      <c r="AL725" s="1356"/>
      <c r="AM725" s="1356"/>
      <c r="AN725" s="1356"/>
      <c r="AO725" s="1357"/>
      <c r="AP725" s="3"/>
      <c r="AQ725" s="3"/>
      <c r="AR725" s="3"/>
      <c r="AS725" s="3"/>
      <c r="AY725" s="1085"/>
      <c r="AZ725" s="118">
        <f t="shared" si="9"/>
        <v>2650</v>
      </c>
      <c r="BA725" s="3"/>
      <c r="BB725" s="3"/>
      <c r="BC725" s="3"/>
      <c r="BD725" s="3"/>
      <c r="BE725" s="204"/>
      <c r="BF725" s="294">
        <f t="shared" si="10"/>
        <v>4</v>
      </c>
      <c r="BG725" s="297">
        <f t="shared" si="11"/>
        <v>2.4844720496894408E-2</v>
      </c>
      <c r="BH725" s="298">
        <f t="shared" si="12"/>
        <v>1.9875776397515529E-2</v>
      </c>
      <c r="BI725" s="3"/>
      <c r="BJ725" s="3"/>
      <c r="BK725" s="3"/>
      <c r="BL725" s="3"/>
      <c r="BM725" s="3"/>
      <c r="BN725" s="3"/>
      <c r="BS725" s="294">
        <f t="shared" si="13"/>
        <v>4</v>
      </c>
      <c r="BT725" s="297">
        <f t="shared" si="14"/>
        <v>2.4844720496894408E-2</v>
      </c>
      <c r="BU725" s="298">
        <f t="shared" si="15"/>
        <v>1.9875776397515529E-2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4</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f t="shared" si="30"/>
        <v>2120</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324</v>
      </c>
      <c r="C726" s="1356"/>
      <c r="D726" s="1356"/>
      <c r="E726" s="1356"/>
      <c r="F726" s="1357"/>
      <c r="G726" s="1364">
        <v>1</v>
      </c>
      <c r="H726" s="1365"/>
      <c r="I726" s="1365"/>
      <c r="J726" s="1366"/>
      <c r="K726" s="1605">
        <v>293</v>
      </c>
      <c r="L726" s="1606"/>
      <c r="M726" s="1606"/>
      <c r="N726" s="1607"/>
      <c r="O726" s="1468">
        <v>2120</v>
      </c>
      <c r="P726" s="1469"/>
      <c r="Q726" s="1469"/>
      <c r="R726" s="1469"/>
      <c r="S726" s="1470"/>
      <c r="T726" s="1468">
        <v>0</v>
      </c>
      <c r="U726" s="1469"/>
      <c r="V726" s="1469"/>
      <c r="W726" s="1470"/>
      <c r="X726" s="1358">
        <f t="shared" si="8"/>
        <v>2120</v>
      </c>
      <c r="Y726" s="1359"/>
      <c r="Z726" s="1359"/>
      <c r="AA726" s="1359"/>
      <c r="AB726" s="1360"/>
      <c r="AC726" s="1614">
        <v>0.8</v>
      </c>
      <c r="AD726" s="1615"/>
      <c r="AE726" s="1615"/>
      <c r="AF726" s="1615"/>
      <c r="AG726" s="1616"/>
      <c r="AH726" s="1361">
        <f t="shared" si="36"/>
        <v>0.8</v>
      </c>
      <c r="AI726" s="1362"/>
      <c r="AJ726" s="1363"/>
      <c r="AK726" s="1355" t="s">
        <v>592</v>
      </c>
      <c r="AL726" s="1356"/>
      <c r="AM726" s="1356"/>
      <c r="AN726" s="1356"/>
      <c r="AO726" s="1357"/>
      <c r="AP726" s="3"/>
      <c r="AQ726" s="3"/>
      <c r="AR726" s="3"/>
      <c r="AS726" s="3"/>
      <c r="AY726" s="1085"/>
      <c r="AZ726" s="118">
        <f t="shared" si="9"/>
        <v>2650</v>
      </c>
      <c r="BA726" s="3"/>
      <c r="BB726" s="3"/>
      <c r="BC726" s="3"/>
      <c r="BD726" s="3"/>
      <c r="BE726" s="204"/>
      <c r="BF726" s="294">
        <f t="shared" si="10"/>
        <v>1</v>
      </c>
      <c r="BG726" s="297">
        <f t="shared" si="11"/>
        <v>6.2111801242236021E-3</v>
      </c>
      <c r="BH726" s="298">
        <f t="shared" si="12"/>
        <v>4.9689440993788822E-3</v>
      </c>
      <c r="BI726" s="3"/>
      <c r="BJ726" s="3"/>
      <c r="BK726" s="3"/>
      <c r="BL726" s="3"/>
      <c r="BM726" s="3"/>
      <c r="BN726" s="3"/>
      <c r="BS726" s="294">
        <f t="shared" si="13"/>
        <v>1</v>
      </c>
      <c r="BT726" s="297">
        <f t="shared" si="14"/>
        <v>6.2111801242236021E-3</v>
      </c>
      <c r="BU726" s="298">
        <f t="shared" si="15"/>
        <v>4.9689440993788822E-3</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1</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f t="shared" si="30"/>
        <v>2120</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325</v>
      </c>
      <c r="C727" s="1356"/>
      <c r="D727" s="1356"/>
      <c r="E727" s="1356"/>
      <c r="F727" s="1357"/>
      <c r="G727" s="1364">
        <v>22</v>
      </c>
      <c r="H727" s="1365"/>
      <c r="I727" s="1365"/>
      <c r="J727" s="1366"/>
      <c r="K727" s="1605">
        <v>412</v>
      </c>
      <c r="L727" s="1606"/>
      <c r="M727" s="1606"/>
      <c r="N727" s="1607"/>
      <c r="O727" s="1468">
        <v>852</v>
      </c>
      <c r="P727" s="1469"/>
      <c r="Q727" s="1469"/>
      <c r="R727" s="1469"/>
      <c r="S727" s="1470"/>
      <c r="T727" s="1468">
        <v>0</v>
      </c>
      <c r="U727" s="1469"/>
      <c r="V727" s="1469"/>
      <c r="W727" s="1470"/>
      <c r="X727" s="1358">
        <f t="shared" si="8"/>
        <v>852</v>
      </c>
      <c r="Y727" s="1359"/>
      <c r="Z727" s="1359"/>
      <c r="AA727" s="1359"/>
      <c r="AB727" s="1360"/>
      <c r="AC727" s="1614">
        <v>0.3</v>
      </c>
      <c r="AD727" s="1615"/>
      <c r="AE727" s="1615"/>
      <c r="AF727" s="1615"/>
      <c r="AG727" s="1616"/>
      <c r="AH727" s="1361">
        <f t="shared" si="36"/>
        <v>0.3</v>
      </c>
      <c r="AI727" s="1362"/>
      <c r="AJ727" s="1363"/>
      <c r="AK727" s="1355" t="s">
        <v>592</v>
      </c>
      <c r="AL727" s="1356"/>
      <c r="AM727" s="1356"/>
      <c r="AN727" s="1356"/>
      <c r="AO727" s="1357"/>
      <c r="AP727" s="3"/>
      <c r="AQ727" s="3"/>
      <c r="AR727" s="3"/>
      <c r="AS727" s="3"/>
      <c r="AY727" s="1085"/>
      <c r="AZ727" s="118">
        <f t="shared" si="9"/>
        <v>2840</v>
      </c>
      <c r="BA727" s="3"/>
      <c r="BB727" s="3"/>
      <c r="BC727" s="3"/>
      <c r="BD727" s="3"/>
      <c r="BE727" s="204"/>
      <c r="BF727" s="294">
        <f t="shared" si="10"/>
        <v>22</v>
      </c>
      <c r="BG727" s="297">
        <f t="shared" si="11"/>
        <v>0.13664596273291926</v>
      </c>
      <c r="BH727" s="298">
        <f t="shared" si="12"/>
        <v>4.0993788819875775E-2</v>
      </c>
      <c r="BI727" s="3"/>
      <c r="BJ727" s="3"/>
      <c r="BK727" s="3"/>
      <c r="BL727" s="3"/>
      <c r="BM727" s="3"/>
      <c r="BN727" s="3"/>
      <c r="BS727" s="294">
        <f t="shared" si="13"/>
        <v>22</v>
      </c>
      <c r="BT727" s="297">
        <f t="shared" si="14"/>
        <v>0.13664596273291926</v>
      </c>
      <c r="BU727" s="298">
        <f t="shared" si="15"/>
        <v>4.0993788819875775E-2</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22</v>
      </c>
      <c r="CN727" s="1337"/>
      <c r="CO727" s="3"/>
      <c r="CP727" s="1332">
        <f t="shared" si="18"/>
        <v>0</v>
      </c>
      <c r="CQ727" s="1333"/>
      <c r="CR727" s="1333"/>
      <c r="CS727" s="1333"/>
      <c r="CT727" s="1334"/>
      <c r="CU727" s="1354">
        <f t="shared" si="19"/>
        <v>22</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22</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f t="shared" si="31"/>
        <v>852</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325</v>
      </c>
      <c r="C728" s="1356"/>
      <c r="D728" s="1356"/>
      <c r="E728" s="1356"/>
      <c r="F728" s="1357"/>
      <c r="G728" s="1364">
        <v>1</v>
      </c>
      <c r="H728" s="1365"/>
      <c r="I728" s="1365"/>
      <c r="J728" s="1366"/>
      <c r="K728" s="1605">
        <v>412</v>
      </c>
      <c r="L728" s="1606"/>
      <c r="M728" s="1606"/>
      <c r="N728" s="1607"/>
      <c r="O728" s="1468">
        <v>1420</v>
      </c>
      <c r="P728" s="1469"/>
      <c r="Q728" s="1469"/>
      <c r="R728" s="1469"/>
      <c r="S728" s="1470"/>
      <c r="T728" s="1468">
        <v>0</v>
      </c>
      <c r="U728" s="1469"/>
      <c r="V728" s="1469"/>
      <c r="W728" s="1470"/>
      <c r="X728" s="1358">
        <f t="shared" si="8"/>
        <v>1420</v>
      </c>
      <c r="Y728" s="1359"/>
      <c r="Z728" s="1359"/>
      <c r="AA728" s="1359"/>
      <c r="AB728" s="1360"/>
      <c r="AC728" s="1614">
        <v>0.5</v>
      </c>
      <c r="AD728" s="1615"/>
      <c r="AE728" s="1615"/>
      <c r="AF728" s="1615"/>
      <c r="AG728" s="1616"/>
      <c r="AH728" s="1361">
        <f t="shared" si="36"/>
        <v>0.5</v>
      </c>
      <c r="AI728" s="1362"/>
      <c r="AJ728" s="1363"/>
      <c r="AK728" s="1355" t="s">
        <v>592</v>
      </c>
      <c r="AL728" s="1356"/>
      <c r="AM728" s="1356"/>
      <c r="AN728" s="1356"/>
      <c r="AO728" s="1357"/>
      <c r="AP728" s="3"/>
      <c r="AQ728" s="3"/>
      <c r="AR728" s="3"/>
      <c r="AS728" s="3"/>
      <c r="AY728" s="1085"/>
      <c r="AZ728" s="118">
        <f t="shared" si="9"/>
        <v>2840</v>
      </c>
      <c r="BA728" s="3"/>
      <c r="BB728" s="3"/>
      <c r="BC728" s="3"/>
      <c r="BD728" s="3"/>
      <c r="BE728" s="204"/>
      <c r="BF728" s="294">
        <f t="shared" si="10"/>
        <v>1</v>
      </c>
      <c r="BG728" s="297">
        <f t="shared" si="11"/>
        <v>6.2111801242236021E-3</v>
      </c>
      <c r="BH728" s="298">
        <f t="shared" si="12"/>
        <v>3.105590062111801E-3</v>
      </c>
      <c r="BI728" s="3"/>
      <c r="BJ728" s="3"/>
      <c r="BK728" s="3"/>
      <c r="BL728" s="3"/>
      <c r="BM728" s="3"/>
      <c r="BN728" s="3"/>
      <c r="BS728" s="294">
        <f t="shared" si="13"/>
        <v>1</v>
      </c>
      <c r="BT728" s="297">
        <f t="shared" si="14"/>
        <v>6.2111801242236021E-3</v>
      </c>
      <c r="BU728" s="298">
        <f t="shared" si="15"/>
        <v>3.105590062111801E-3</v>
      </c>
      <c r="BV728" s="3"/>
      <c r="BW728" s="3"/>
      <c r="BX728" s="3"/>
      <c r="BY728" s="3"/>
      <c r="BZ728" s="3"/>
      <c r="CA728" s="3"/>
      <c r="CB728" s="3"/>
      <c r="CC728" s="3"/>
      <c r="CE728" s="3"/>
      <c r="CF728" s="3"/>
      <c r="CG728" s="1351">
        <f t="shared" si="37"/>
        <v>1</v>
      </c>
      <c r="CH728" s="1353"/>
      <c r="CI728" s="1335">
        <f t="shared" si="38"/>
        <v>1</v>
      </c>
      <c r="CJ728" s="1337"/>
      <c r="CK728" s="1351">
        <f t="shared" si="16"/>
        <v>0</v>
      </c>
      <c r="CL728" s="1353"/>
      <c r="CM728" s="1335">
        <f t="shared" si="17"/>
        <v>0</v>
      </c>
      <c r="CN728" s="1337"/>
      <c r="CO728" s="3"/>
      <c r="CP728" s="1332">
        <f t="shared" si="18"/>
        <v>0</v>
      </c>
      <c r="CQ728" s="1333"/>
      <c r="CR728" s="1333"/>
      <c r="CS728" s="1333"/>
      <c r="CT728" s="1334"/>
      <c r="CU728" s="1354">
        <f t="shared" si="19"/>
        <v>1</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f t="shared" si="31"/>
        <v>1420</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325</v>
      </c>
      <c r="C729" s="1356"/>
      <c r="D729" s="1356"/>
      <c r="E729" s="1356"/>
      <c r="F729" s="1357"/>
      <c r="G729" s="1364">
        <v>15</v>
      </c>
      <c r="H729" s="1365"/>
      <c r="I729" s="1365"/>
      <c r="J729" s="1366"/>
      <c r="K729" s="1605">
        <v>412</v>
      </c>
      <c r="L729" s="1606"/>
      <c r="M729" s="1606"/>
      <c r="N729" s="1607"/>
      <c r="O729" s="1468">
        <v>1420</v>
      </c>
      <c r="P729" s="1469"/>
      <c r="Q729" s="1469"/>
      <c r="R729" s="1469"/>
      <c r="S729" s="1470"/>
      <c r="T729" s="1468">
        <v>0</v>
      </c>
      <c r="U729" s="1469"/>
      <c r="V729" s="1469"/>
      <c r="W729" s="1470"/>
      <c r="X729" s="1358">
        <f t="shared" si="8"/>
        <v>1420</v>
      </c>
      <c r="Y729" s="1359"/>
      <c r="Z729" s="1359"/>
      <c r="AA729" s="1359"/>
      <c r="AB729" s="1360"/>
      <c r="AC729" s="1614">
        <v>0.5</v>
      </c>
      <c r="AD729" s="1615"/>
      <c r="AE729" s="1615"/>
      <c r="AF729" s="1615"/>
      <c r="AG729" s="1616"/>
      <c r="AH729" s="1361">
        <f t="shared" si="36"/>
        <v>0.5</v>
      </c>
      <c r="AI729" s="1362"/>
      <c r="AJ729" s="1363"/>
      <c r="AK729" s="1355" t="s">
        <v>592</v>
      </c>
      <c r="AL729" s="1356"/>
      <c r="AM729" s="1356"/>
      <c r="AN729" s="1356"/>
      <c r="AO729" s="1357"/>
      <c r="AP729" s="3"/>
      <c r="AQ729" s="3"/>
      <c r="AR729" s="3"/>
      <c r="AS729" s="3"/>
      <c r="AY729" s="1085"/>
      <c r="AZ729" s="118">
        <f t="shared" si="9"/>
        <v>2840</v>
      </c>
      <c r="BA729" s="3"/>
      <c r="BB729" s="3"/>
      <c r="BC729" s="3"/>
      <c r="BD729" s="3"/>
      <c r="BE729" s="204"/>
      <c r="BF729" s="294">
        <f t="shared" si="10"/>
        <v>15</v>
      </c>
      <c r="BG729" s="297">
        <f t="shared" si="11"/>
        <v>9.3167701863354033E-2</v>
      </c>
      <c r="BH729" s="298">
        <f t="shared" si="12"/>
        <v>4.6583850931677016E-2</v>
      </c>
      <c r="BI729" s="3"/>
      <c r="BJ729" s="3"/>
      <c r="BK729" s="3"/>
      <c r="BL729" s="3"/>
      <c r="BM729" s="3"/>
      <c r="BN729" s="3"/>
      <c r="BS729" s="294">
        <f t="shared" si="13"/>
        <v>15</v>
      </c>
      <c r="BT729" s="297">
        <f t="shared" si="14"/>
        <v>9.3167701863354033E-2</v>
      </c>
      <c r="BU729" s="298">
        <f t="shared" si="15"/>
        <v>4.6583850931677016E-2</v>
      </c>
      <c r="BV729" s="3"/>
      <c r="BW729" s="3"/>
      <c r="BX729" s="3"/>
      <c r="BY729" s="3"/>
      <c r="BZ729" s="3"/>
      <c r="CA729" s="3"/>
      <c r="CB729" s="3"/>
      <c r="CC729" s="3"/>
      <c r="CE729" s="3"/>
      <c r="CF729" s="3"/>
      <c r="CG729" s="1351">
        <f t="shared" si="37"/>
        <v>1</v>
      </c>
      <c r="CH729" s="1353"/>
      <c r="CI729" s="1335">
        <f t="shared" si="38"/>
        <v>15</v>
      </c>
      <c r="CJ729" s="1337"/>
      <c r="CK729" s="1351">
        <f t="shared" si="16"/>
        <v>0</v>
      </c>
      <c r="CL729" s="1353"/>
      <c r="CM729" s="1335">
        <f t="shared" si="17"/>
        <v>0</v>
      </c>
      <c r="CN729" s="1337"/>
      <c r="CO729" s="3"/>
      <c r="CP729" s="1332">
        <f t="shared" si="18"/>
        <v>0</v>
      </c>
      <c r="CQ729" s="1333"/>
      <c r="CR729" s="1333"/>
      <c r="CS729" s="1333"/>
      <c r="CT729" s="1334"/>
      <c r="CU729" s="1354">
        <f t="shared" si="19"/>
        <v>15</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f t="shared" si="31"/>
        <v>1420</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325</v>
      </c>
      <c r="C730" s="1356"/>
      <c r="D730" s="1356"/>
      <c r="E730" s="1356"/>
      <c r="F730" s="1357"/>
      <c r="G730" s="1364">
        <v>3</v>
      </c>
      <c r="H730" s="1365"/>
      <c r="I730" s="1365"/>
      <c r="J730" s="1366"/>
      <c r="K730" s="1605">
        <v>412</v>
      </c>
      <c r="L730" s="1606"/>
      <c r="M730" s="1606"/>
      <c r="N730" s="1607"/>
      <c r="O730" s="1468">
        <v>1704</v>
      </c>
      <c r="P730" s="1469"/>
      <c r="Q730" s="1469"/>
      <c r="R730" s="1469"/>
      <c r="S730" s="1470"/>
      <c r="T730" s="1468">
        <v>0</v>
      </c>
      <c r="U730" s="1469"/>
      <c r="V730" s="1469"/>
      <c r="W730" s="1470"/>
      <c r="X730" s="1358">
        <f t="shared" si="8"/>
        <v>1704</v>
      </c>
      <c r="Y730" s="1359"/>
      <c r="Z730" s="1359"/>
      <c r="AA730" s="1359"/>
      <c r="AB730" s="1360"/>
      <c r="AC730" s="1614">
        <v>0.6</v>
      </c>
      <c r="AD730" s="1615"/>
      <c r="AE730" s="1615"/>
      <c r="AF730" s="1615"/>
      <c r="AG730" s="1616"/>
      <c r="AH730" s="1361">
        <f t="shared" si="36"/>
        <v>0.6</v>
      </c>
      <c r="AI730" s="1362"/>
      <c r="AJ730" s="1363"/>
      <c r="AK730" s="1355" t="s">
        <v>592</v>
      </c>
      <c r="AL730" s="1356"/>
      <c r="AM730" s="1356"/>
      <c r="AN730" s="1356"/>
      <c r="AO730" s="1357"/>
      <c r="AP730" s="3"/>
      <c r="AQ730" s="3"/>
      <c r="AR730" s="3"/>
      <c r="AS730" s="3"/>
      <c r="AY730" s="1085"/>
      <c r="AZ730" s="118">
        <f t="shared" si="9"/>
        <v>2840</v>
      </c>
      <c r="BA730" s="3"/>
      <c r="BB730" s="3"/>
      <c r="BC730" s="3"/>
      <c r="BD730" s="3"/>
      <c r="BE730" s="204"/>
      <c r="BF730" s="294">
        <f t="shared" si="10"/>
        <v>3</v>
      </c>
      <c r="BG730" s="297">
        <f t="shared" si="11"/>
        <v>1.8633540372670808E-2</v>
      </c>
      <c r="BH730" s="298">
        <f t="shared" si="12"/>
        <v>1.1180124223602485E-2</v>
      </c>
      <c r="BI730" s="3"/>
      <c r="BJ730" s="3"/>
      <c r="BK730" s="3"/>
      <c r="BL730" s="3"/>
      <c r="BM730" s="3"/>
      <c r="BN730" s="3"/>
      <c r="BS730" s="294">
        <f t="shared" si="13"/>
        <v>3</v>
      </c>
      <c r="BT730" s="297">
        <f t="shared" si="14"/>
        <v>1.8633540372670808E-2</v>
      </c>
      <c r="BU730" s="298">
        <f t="shared" si="15"/>
        <v>1.1180124223602485E-2</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3</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f t="shared" si="31"/>
        <v>1704</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325</v>
      </c>
      <c r="C731" s="1356"/>
      <c r="D731" s="1356"/>
      <c r="E731" s="1356"/>
      <c r="F731" s="1357"/>
      <c r="G731" s="1364">
        <v>1</v>
      </c>
      <c r="H731" s="1365"/>
      <c r="I731" s="1365"/>
      <c r="J731" s="1366"/>
      <c r="K731" s="1605">
        <v>412</v>
      </c>
      <c r="L731" s="1606"/>
      <c r="M731" s="1606"/>
      <c r="N731" s="1607"/>
      <c r="O731" s="1468">
        <v>1704</v>
      </c>
      <c r="P731" s="1469"/>
      <c r="Q731" s="1469"/>
      <c r="R731" s="1469"/>
      <c r="S731" s="1470"/>
      <c r="T731" s="1468">
        <v>0</v>
      </c>
      <c r="U731" s="1469"/>
      <c r="V731" s="1469"/>
      <c r="W731" s="1470"/>
      <c r="X731" s="1358">
        <f t="shared" si="8"/>
        <v>1704</v>
      </c>
      <c r="Y731" s="1359"/>
      <c r="Z731" s="1359"/>
      <c r="AA731" s="1359"/>
      <c r="AB731" s="1360"/>
      <c r="AC731" s="1614">
        <v>0.6</v>
      </c>
      <c r="AD731" s="1615"/>
      <c r="AE731" s="1615"/>
      <c r="AF731" s="1615"/>
      <c r="AG731" s="1616"/>
      <c r="AH731" s="1361">
        <f t="shared" si="36"/>
        <v>0.6</v>
      </c>
      <c r="AI731" s="1362"/>
      <c r="AJ731" s="1363"/>
      <c r="AK731" s="1355" t="s">
        <v>592</v>
      </c>
      <c r="AL731" s="1356"/>
      <c r="AM731" s="1356"/>
      <c r="AN731" s="1356"/>
      <c r="AO731" s="1357"/>
      <c r="AP731" s="3"/>
      <c r="AQ731" s="3"/>
      <c r="AR731" s="3"/>
      <c r="AS731" s="3"/>
      <c r="AY731" s="1085"/>
      <c r="AZ731" s="118">
        <f t="shared" si="9"/>
        <v>2840</v>
      </c>
      <c r="BA731" s="3"/>
      <c r="BB731" s="3"/>
      <c r="BC731" s="3"/>
      <c r="BD731" s="3"/>
      <c r="BE731" s="204"/>
      <c r="BF731" s="294">
        <f t="shared" si="10"/>
        <v>1</v>
      </c>
      <c r="BG731" s="297">
        <f t="shared" si="11"/>
        <v>6.2111801242236021E-3</v>
      </c>
      <c r="BH731" s="298">
        <f t="shared" si="12"/>
        <v>3.726708074534161E-3</v>
      </c>
      <c r="BI731" s="3"/>
      <c r="BJ731" s="3"/>
      <c r="BK731" s="3"/>
      <c r="BL731" s="3"/>
      <c r="BM731" s="3"/>
      <c r="BN731" s="3"/>
      <c r="BS731" s="294">
        <f t="shared" si="13"/>
        <v>1</v>
      </c>
      <c r="BT731" s="297">
        <f t="shared" si="14"/>
        <v>6.2111801242236021E-3</v>
      </c>
      <c r="BU731" s="298">
        <f t="shared" si="15"/>
        <v>3.726708074534161E-3</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1</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f t="shared" si="31"/>
        <v>1704</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325</v>
      </c>
      <c r="C732" s="1356"/>
      <c r="D732" s="1356"/>
      <c r="E732" s="1356"/>
      <c r="F732" s="1357"/>
      <c r="G732" s="1364">
        <v>2</v>
      </c>
      <c r="H732" s="1365"/>
      <c r="I732" s="1365"/>
      <c r="J732" s="1366"/>
      <c r="K732" s="1605">
        <v>412</v>
      </c>
      <c r="L732" s="1606"/>
      <c r="M732" s="1606"/>
      <c r="N732" s="1607"/>
      <c r="O732" s="1468">
        <v>2272</v>
      </c>
      <c r="P732" s="1469"/>
      <c r="Q732" s="1469"/>
      <c r="R732" s="1469"/>
      <c r="S732" s="1470"/>
      <c r="T732" s="1468">
        <v>0</v>
      </c>
      <c r="U732" s="1469"/>
      <c r="V732" s="1469"/>
      <c r="W732" s="1470"/>
      <c r="X732" s="1358">
        <f t="shared" si="8"/>
        <v>2272</v>
      </c>
      <c r="Y732" s="1359"/>
      <c r="Z732" s="1359"/>
      <c r="AA732" s="1359"/>
      <c r="AB732" s="1360"/>
      <c r="AC732" s="1614">
        <v>0.8</v>
      </c>
      <c r="AD732" s="1615"/>
      <c r="AE732" s="1615"/>
      <c r="AF732" s="1615"/>
      <c r="AG732" s="1616"/>
      <c r="AH732" s="1361">
        <f t="shared" si="36"/>
        <v>0.8</v>
      </c>
      <c r="AI732" s="1362"/>
      <c r="AJ732" s="1363"/>
      <c r="AK732" s="1355" t="s">
        <v>592</v>
      </c>
      <c r="AL732" s="1356"/>
      <c r="AM732" s="1356"/>
      <c r="AN732" s="1356"/>
      <c r="AO732" s="1357"/>
      <c r="AP732" s="3"/>
      <c r="AQ732" s="3"/>
      <c r="AR732" s="3"/>
      <c r="AS732" s="3"/>
      <c r="AY732" s="1085"/>
      <c r="AZ732" s="118">
        <f t="shared" si="9"/>
        <v>2840</v>
      </c>
      <c r="BA732" s="3"/>
      <c r="BB732" s="3"/>
      <c r="BC732" s="3"/>
      <c r="BD732" s="3"/>
      <c r="BE732" s="204"/>
      <c r="BF732" s="294">
        <f t="shared" si="10"/>
        <v>2</v>
      </c>
      <c r="BG732" s="297">
        <f t="shared" si="11"/>
        <v>1.2422360248447204E-2</v>
      </c>
      <c r="BH732" s="298">
        <f t="shared" si="12"/>
        <v>9.9378881987577643E-3</v>
      </c>
      <c r="BI732" s="3"/>
      <c r="BJ732" s="3"/>
      <c r="BK732" s="3"/>
      <c r="BL732" s="3"/>
      <c r="BM732" s="3"/>
      <c r="BN732" s="3"/>
      <c r="BS732" s="294">
        <f t="shared" si="13"/>
        <v>2</v>
      </c>
      <c r="BT732" s="297">
        <f t="shared" si="14"/>
        <v>1.2422360248447204E-2</v>
      </c>
      <c r="BU732" s="298">
        <f t="shared" si="15"/>
        <v>9.9378881987577643E-3</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2</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f t="shared" si="31"/>
        <v>2272</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
        <v>163</v>
      </c>
      <c r="C733" s="1356"/>
      <c r="D733" s="1356"/>
      <c r="E733" s="1356"/>
      <c r="F733" s="1357"/>
      <c r="G733" s="1364">
        <v>2</v>
      </c>
      <c r="H733" s="1365"/>
      <c r="I733" s="1365"/>
      <c r="J733" s="1366"/>
      <c r="K733" s="1605">
        <v>622</v>
      </c>
      <c r="L733" s="1606"/>
      <c r="M733" s="1606"/>
      <c r="N733" s="1607"/>
      <c r="O733" s="1468">
        <v>1022</v>
      </c>
      <c r="P733" s="1469"/>
      <c r="Q733" s="1469"/>
      <c r="R733" s="1469"/>
      <c r="S733" s="1470"/>
      <c r="T733" s="1468">
        <v>0</v>
      </c>
      <c r="U733" s="1469"/>
      <c r="V733" s="1469"/>
      <c r="W733" s="1470"/>
      <c r="X733" s="1358">
        <f t="shared" si="8"/>
        <v>1022</v>
      </c>
      <c r="Y733" s="1359"/>
      <c r="Z733" s="1359"/>
      <c r="AA733" s="1359"/>
      <c r="AB733" s="1360"/>
      <c r="AC733" s="1614">
        <v>0.3</v>
      </c>
      <c r="AD733" s="1615"/>
      <c r="AE733" s="1615"/>
      <c r="AF733" s="1615"/>
      <c r="AG733" s="1616"/>
      <c r="AH733" s="1361">
        <f t="shared" si="36"/>
        <v>0.30005871990604815</v>
      </c>
      <c r="AI733" s="1362"/>
      <c r="AJ733" s="1363"/>
      <c r="AK733" s="1355" t="s">
        <v>592</v>
      </c>
      <c r="AL733" s="1356"/>
      <c r="AM733" s="1356"/>
      <c r="AN733" s="1356"/>
      <c r="AO733" s="1357"/>
      <c r="AP733" s="3"/>
      <c r="AQ733" s="3"/>
      <c r="AR733" s="3"/>
      <c r="AS733" s="3"/>
      <c r="AY733" s="1085"/>
      <c r="AZ733" s="118">
        <f t="shared" si="9"/>
        <v>3406</v>
      </c>
      <c r="BA733" s="3"/>
      <c r="BB733" s="3"/>
      <c r="BC733" s="3"/>
      <c r="BD733" s="3"/>
      <c r="BE733" s="204"/>
      <c r="BF733" s="294">
        <f t="shared" si="10"/>
        <v>2</v>
      </c>
      <c r="BG733" s="297">
        <f t="shared" si="11"/>
        <v>1.2422360248447204E-2</v>
      </c>
      <c r="BH733" s="298">
        <f t="shared" si="12"/>
        <v>3.726708074534161E-3</v>
      </c>
      <c r="BI733" s="3"/>
      <c r="BJ733" s="3"/>
      <c r="BK733" s="3"/>
      <c r="BL733" s="3"/>
      <c r="BM733" s="3"/>
      <c r="BN733" s="3"/>
      <c r="BS733" s="294">
        <f t="shared" si="13"/>
        <v>2</v>
      </c>
      <c r="BT733" s="297">
        <f t="shared" si="14"/>
        <v>1.2422360248447204E-2</v>
      </c>
      <c r="BU733" s="298">
        <f t="shared" si="15"/>
        <v>3.7274375143608466E-3</v>
      </c>
      <c r="BV733" s="3"/>
      <c r="BW733" s="3"/>
      <c r="BX733" s="3"/>
      <c r="BY733" s="3"/>
      <c r="BZ733" s="3"/>
      <c r="CA733" s="3"/>
      <c r="CB733" s="3"/>
      <c r="CC733" s="3"/>
      <c r="CE733" s="3"/>
      <c r="CF733" s="3"/>
      <c r="CG733" s="1351">
        <f t="shared" si="37"/>
        <v>0</v>
      </c>
      <c r="CH733" s="1353"/>
      <c r="CI733" s="1335">
        <f t="shared" si="38"/>
        <v>0</v>
      </c>
      <c r="CJ733" s="1337"/>
      <c r="CK733" s="1351">
        <f t="shared" si="16"/>
        <v>1</v>
      </c>
      <c r="CL733" s="1353"/>
      <c r="CM733" s="1335">
        <f t="shared" si="17"/>
        <v>2</v>
      </c>
      <c r="CN733" s="1337"/>
      <c r="CO733" s="3"/>
      <c r="CP733" s="1332">
        <f t="shared" si="18"/>
        <v>0</v>
      </c>
      <c r="CQ733" s="1333"/>
      <c r="CR733" s="1333"/>
      <c r="CS733" s="1333"/>
      <c r="CT733" s="1334"/>
      <c r="CU733" s="1354">
        <f t="shared" si="19"/>
        <v>0</v>
      </c>
      <c r="CV733" s="1354"/>
      <c r="CW733" s="1354"/>
      <c r="CX733" s="1354"/>
      <c r="CY733" s="1354"/>
      <c r="CZ733" s="1354">
        <f t="shared" si="20"/>
        <v>2</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2</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f t="shared" si="32"/>
        <v>1022</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
        <v>163</v>
      </c>
      <c r="C734" s="1356"/>
      <c r="D734" s="1356"/>
      <c r="E734" s="1356"/>
      <c r="F734" s="1357"/>
      <c r="G734" s="1364">
        <v>1</v>
      </c>
      <c r="H734" s="1365"/>
      <c r="I734" s="1365"/>
      <c r="J734" s="1366"/>
      <c r="K734" s="1605">
        <v>622</v>
      </c>
      <c r="L734" s="1606"/>
      <c r="M734" s="1606"/>
      <c r="N734" s="1607"/>
      <c r="O734" s="1468">
        <v>1703</v>
      </c>
      <c r="P734" s="1469"/>
      <c r="Q734" s="1469"/>
      <c r="R734" s="1469"/>
      <c r="S734" s="1470"/>
      <c r="T734" s="1468">
        <v>0</v>
      </c>
      <c r="U734" s="1469"/>
      <c r="V734" s="1469"/>
      <c r="W734" s="1470"/>
      <c r="X734" s="1358">
        <f t="shared" si="8"/>
        <v>1703</v>
      </c>
      <c r="Y734" s="1359"/>
      <c r="Z734" s="1359"/>
      <c r="AA734" s="1359"/>
      <c r="AB734" s="1360"/>
      <c r="AC734" s="1614">
        <v>0.5</v>
      </c>
      <c r="AD734" s="1615"/>
      <c r="AE734" s="1615"/>
      <c r="AF734" s="1615"/>
      <c r="AG734" s="1616"/>
      <c r="AH734" s="1361">
        <f t="shared" si="36"/>
        <v>0.5</v>
      </c>
      <c r="AI734" s="1362"/>
      <c r="AJ734" s="1363"/>
      <c r="AK734" s="1355" t="s">
        <v>592</v>
      </c>
      <c r="AL734" s="1356"/>
      <c r="AM734" s="1356"/>
      <c r="AN734" s="1356"/>
      <c r="AO734" s="1357"/>
      <c r="AP734" s="3"/>
      <c r="AQ734" s="3"/>
      <c r="AR734" s="3"/>
      <c r="AS734" s="3"/>
      <c r="AY734" s="1085"/>
      <c r="AZ734" s="118">
        <f t="shared" si="9"/>
        <v>3406</v>
      </c>
      <c r="BA734" s="3"/>
      <c r="BB734" s="3"/>
      <c r="BC734" s="3"/>
      <c r="BD734" s="3"/>
      <c r="BE734" s="204"/>
      <c r="BF734" s="294">
        <f t="shared" si="10"/>
        <v>1</v>
      </c>
      <c r="BG734" s="297">
        <f t="shared" si="11"/>
        <v>6.2111801242236021E-3</v>
      </c>
      <c r="BH734" s="298">
        <f t="shared" si="12"/>
        <v>3.105590062111801E-3</v>
      </c>
      <c r="BI734" s="3"/>
      <c r="BJ734" s="3"/>
      <c r="BK734" s="3"/>
      <c r="BL734" s="3"/>
      <c r="BM734" s="3"/>
      <c r="BN734" s="3"/>
      <c r="BS734" s="294">
        <f t="shared" si="13"/>
        <v>1</v>
      </c>
      <c r="BT734" s="297">
        <f t="shared" si="14"/>
        <v>6.2111801242236021E-3</v>
      </c>
      <c r="BU734" s="298">
        <f t="shared" si="15"/>
        <v>3.105590062111801E-3</v>
      </c>
      <c r="BV734" s="3"/>
      <c r="BW734" s="3"/>
      <c r="BX734" s="3"/>
      <c r="BY734" s="3"/>
      <c r="BZ734" s="3"/>
      <c r="CA734" s="3"/>
      <c r="CB734" s="3"/>
      <c r="CC734" s="3"/>
      <c r="CE734" s="3"/>
      <c r="CF734" s="3"/>
      <c r="CG734" s="1351">
        <f t="shared" si="37"/>
        <v>1</v>
      </c>
      <c r="CH734" s="1353"/>
      <c r="CI734" s="1335">
        <f t="shared" si="38"/>
        <v>1</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1</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f t="shared" si="32"/>
        <v>1703</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t="s">
        <v>163</v>
      </c>
      <c r="C735" s="1356"/>
      <c r="D735" s="1356"/>
      <c r="E735" s="1356"/>
      <c r="F735" s="1357"/>
      <c r="G735" s="1364">
        <v>5</v>
      </c>
      <c r="H735" s="1365"/>
      <c r="I735" s="1365"/>
      <c r="J735" s="1366"/>
      <c r="K735" s="1605">
        <v>622</v>
      </c>
      <c r="L735" s="1606"/>
      <c r="M735" s="1606"/>
      <c r="N735" s="1607"/>
      <c r="O735" s="1468">
        <v>1703</v>
      </c>
      <c r="P735" s="1469"/>
      <c r="Q735" s="1469"/>
      <c r="R735" s="1469"/>
      <c r="S735" s="1470"/>
      <c r="T735" s="1468">
        <v>0</v>
      </c>
      <c r="U735" s="1469"/>
      <c r="V735" s="1469"/>
      <c r="W735" s="1470"/>
      <c r="X735" s="1358">
        <f t="shared" si="8"/>
        <v>1703</v>
      </c>
      <c r="Y735" s="1359"/>
      <c r="Z735" s="1359"/>
      <c r="AA735" s="1359"/>
      <c r="AB735" s="1360"/>
      <c r="AC735" s="1614">
        <v>0.5</v>
      </c>
      <c r="AD735" s="1615"/>
      <c r="AE735" s="1615"/>
      <c r="AF735" s="1615"/>
      <c r="AG735" s="1616"/>
      <c r="AH735" s="1361">
        <f t="shared" si="36"/>
        <v>0.5</v>
      </c>
      <c r="AI735" s="1362"/>
      <c r="AJ735" s="1363"/>
      <c r="AK735" s="1355" t="s">
        <v>592</v>
      </c>
      <c r="AL735" s="1356"/>
      <c r="AM735" s="1356"/>
      <c r="AN735" s="1356"/>
      <c r="AO735" s="1357"/>
      <c r="AP735" s="3"/>
      <c r="AQ735" s="3"/>
      <c r="AR735" s="3"/>
      <c r="AS735" s="3"/>
      <c r="AY735" s="1085"/>
      <c r="AZ735" s="118">
        <f t="shared" si="9"/>
        <v>3406</v>
      </c>
      <c r="BA735" s="3"/>
      <c r="BB735" s="3"/>
      <c r="BC735" s="3"/>
      <c r="BD735" s="3"/>
      <c r="BE735" s="204"/>
      <c r="BF735" s="294">
        <f t="shared" si="10"/>
        <v>5</v>
      </c>
      <c r="BG735" s="297">
        <f t="shared" si="11"/>
        <v>3.1055900621118012E-2</v>
      </c>
      <c r="BH735" s="298">
        <f t="shared" si="12"/>
        <v>1.5527950310559006E-2</v>
      </c>
      <c r="BI735" s="3"/>
      <c r="BJ735" s="3"/>
      <c r="BK735" s="3"/>
      <c r="BL735" s="3"/>
      <c r="BM735" s="3"/>
      <c r="BN735" s="3"/>
      <c r="BS735" s="294">
        <f t="shared" si="13"/>
        <v>5</v>
      </c>
      <c r="BT735" s="297">
        <f t="shared" si="14"/>
        <v>3.1055900621118012E-2</v>
      </c>
      <c r="BU735" s="298">
        <f t="shared" si="15"/>
        <v>1.5527950310559006E-2</v>
      </c>
      <c r="BV735" s="3"/>
      <c r="BW735" s="3"/>
      <c r="BX735" s="3"/>
      <c r="BY735" s="3"/>
      <c r="BZ735" s="3"/>
      <c r="CA735" s="3"/>
      <c r="CB735" s="3"/>
      <c r="CC735" s="3"/>
      <c r="CE735" s="3"/>
      <c r="CF735" s="3"/>
      <c r="CG735" s="1351">
        <f t="shared" si="37"/>
        <v>1</v>
      </c>
      <c r="CH735" s="1353"/>
      <c r="CI735" s="1335">
        <f t="shared" si="38"/>
        <v>5</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5</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f t="shared" si="32"/>
        <v>1703</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t="s">
        <v>163</v>
      </c>
      <c r="C736" s="1356"/>
      <c r="D736" s="1356"/>
      <c r="E736" s="1356"/>
      <c r="F736" s="1357"/>
      <c r="G736" s="1364">
        <v>2</v>
      </c>
      <c r="H736" s="1365"/>
      <c r="I736" s="1365"/>
      <c r="J736" s="1366"/>
      <c r="K736" s="1605">
        <v>622</v>
      </c>
      <c r="L736" s="1606"/>
      <c r="M736" s="1606"/>
      <c r="N736" s="1607"/>
      <c r="O736" s="1468">
        <v>2044</v>
      </c>
      <c r="P736" s="1469"/>
      <c r="Q736" s="1469"/>
      <c r="R736" s="1469"/>
      <c r="S736" s="1470"/>
      <c r="T736" s="1468">
        <v>0</v>
      </c>
      <c r="U736" s="1469"/>
      <c r="V736" s="1469"/>
      <c r="W736" s="1470"/>
      <c r="X736" s="1358">
        <f t="shared" si="8"/>
        <v>2044</v>
      </c>
      <c r="Y736" s="1359"/>
      <c r="Z736" s="1359"/>
      <c r="AA736" s="1359"/>
      <c r="AB736" s="1360"/>
      <c r="AC736" s="1614">
        <v>0.6</v>
      </c>
      <c r="AD736" s="1615"/>
      <c r="AE736" s="1615"/>
      <c r="AF736" s="1615"/>
      <c r="AG736" s="1616"/>
      <c r="AH736" s="1361">
        <f t="shared" si="36"/>
        <v>0.60011743981209631</v>
      </c>
      <c r="AI736" s="1362"/>
      <c r="AJ736" s="1363"/>
      <c r="AK736" s="1355" t="s">
        <v>592</v>
      </c>
      <c r="AL736" s="1356"/>
      <c r="AM736" s="1356"/>
      <c r="AN736" s="1356"/>
      <c r="AO736" s="1357"/>
      <c r="AP736" s="3"/>
      <c r="AQ736" s="3"/>
      <c r="AR736" s="3"/>
      <c r="AS736" s="3"/>
      <c r="AY736" s="1085"/>
      <c r="AZ736" s="118">
        <f t="shared" si="9"/>
        <v>3406</v>
      </c>
      <c r="BA736" s="3"/>
      <c r="BB736" s="3"/>
      <c r="BC736" s="3"/>
      <c r="BD736" s="3"/>
      <c r="BE736" s="204"/>
      <c r="BF736" s="294">
        <f t="shared" si="10"/>
        <v>2</v>
      </c>
      <c r="BG736" s="297">
        <f t="shared" si="11"/>
        <v>1.2422360248447204E-2</v>
      </c>
      <c r="BH736" s="298">
        <f t="shared" si="12"/>
        <v>7.453416149068322E-3</v>
      </c>
      <c r="BI736" s="3"/>
      <c r="BJ736" s="3"/>
      <c r="BK736" s="3"/>
      <c r="BL736" s="3"/>
      <c r="BM736" s="3"/>
      <c r="BN736" s="3"/>
      <c r="BS736" s="294">
        <f t="shared" si="13"/>
        <v>2</v>
      </c>
      <c r="BT736" s="297">
        <f t="shared" si="14"/>
        <v>1.2422360248447204E-2</v>
      </c>
      <c r="BU736" s="298">
        <f t="shared" si="15"/>
        <v>7.4548750287216931E-3</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2</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f t="shared" si="32"/>
        <v>2044</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8"/>
        <v>0</v>
      </c>
      <c r="Y737" s="1359"/>
      <c r="Z737" s="1359"/>
      <c r="AA737" s="1359"/>
      <c r="AB737" s="1360"/>
      <c r="AC737" s="1614"/>
      <c r="AD737" s="1615"/>
      <c r="AE737" s="1615"/>
      <c r="AF737" s="1615"/>
      <c r="AG737" s="1616"/>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8"/>
        <v>0</v>
      </c>
      <c r="Y738" s="1359"/>
      <c r="Z738" s="1359"/>
      <c r="AA738" s="1359"/>
      <c r="AB738" s="1360"/>
      <c r="AC738" s="1614"/>
      <c r="AD738" s="1615"/>
      <c r="AE738" s="1615"/>
      <c r="AF738" s="1615"/>
      <c r="AG738" s="1616"/>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8"/>
        <v>0</v>
      </c>
      <c r="Y739" s="1359"/>
      <c r="Z739" s="1359"/>
      <c r="AA739" s="1359"/>
      <c r="AB739" s="1360"/>
      <c r="AC739" s="1614"/>
      <c r="AD739" s="1615"/>
      <c r="AE739" s="1615"/>
      <c r="AF739" s="1615"/>
      <c r="AG739" s="1616"/>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8"/>
        <v>0</v>
      </c>
      <c r="Y740" s="1359"/>
      <c r="Z740" s="1359"/>
      <c r="AA740" s="1359"/>
      <c r="AB740" s="1360"/>
      <c r="AC740" s="1614"/>
      <c r="AD740" s="1615"/>
      <c r="AE740" s="1615"/>
      <c r="AF740" s="1615"/>
      <c r="AG740" s="1616"/>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8"/>
        <v>0</v>
      </c>
      <c r="Y741" s="1359"/>
      <c r="Z741" s="1359"/>
      <c r="AA741" s="1359"/>
      <c r="AB741" s="1360"/>
      <c r="AC741" s="1614"/>
      <c r="AD741" s="1615"/>
      <c r="AE741" s="1615"/>
      <c r="AF741" s="1615"/>
      <c r="AG741" s="1616"/>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39">O742+T742</f>
        <v>0</v>
      </c>
      <c r="Y742" s="1359"/>
      <c r="Z742" s="1359"/>
      <c r="AA742" s="1359"/>
      <c r="AB742" s="1360"/>
      <c r="AC742" s="1614"/>
      <c r="AD742" s="1615"/>
      <c r="AE742" s="1615"/>
      <c r="AF742" s="1615"/>
      <c r="AG742" s="1616"/>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39"/>
        <v>0</v>
      </c>
      <c r="Y743" s="1359"/>
      <c r="Z743" s="1359"/>
      <c r="AA743" s="1359"/>
      <c r="AB743" s="1360"/>
      <c r="AC743" s="1614"/>
      <c r="AD743" s="1615"/>
      <c r="AE743" s="1615"/>
      <c r="AF743" s="1615"/>
      <c r="AG743" s="1616"/>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39"/>
        <v>0</v>
      </c>
      <c r="Y744" s="1359"/>
      <c r="Z744" s="1359"/>
      <c r="AA744" s="1359"/>
      <c r="AB744" s="1360"/>
      <c r="AC744" s="1614"/>
      <c r="AD744" s="1615"/>
      <c r="AE744" s="1615"/>
      <c r="AF744" s="1615"/>
      <c r="AG744" s="1616"/>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39"/>
        <v>0</v>
      </c>
      <c r="Y745" s="1359"/>
      <c r="Z745" s="1359"/>
      <c r="AA745" s="1359"/>
      <c r="AB745" s="1360"/>
      <c r="AC745" s="1614"/>
      <c r="AD745" s="1615"/>
      <c r="AE745" s="1615"/>
      <c r="AF745" s="1615"/>
      <c r="AG745" s="1616"/>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39"/>
        <v>0</v>
      </c>
      <c r="Y746" s="1359"/>
      <c r="Z746" s="1359"/>
      <c r="AA746" s="1359"/>
      <c r="AB746" s="1360"/>
      <c r="AC746" s="1614"/>
      <c r="AD746" s="1615"/>
      <c r="AE746" s="1615"/>
      <c r="AF746" s="1615"/>
      <c r="AG746" s="1616"/>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39"/>
        <v>0</v>
      </c>
      <c r="Y747" s="1359"/>
      <c r="Z747" s="1359"/>
      <c r="AA747" s="1359"/>
      <c r="AB747" s="1360"/>
      <c r="AC747" s="1614"/>
      <c r="AD747" s="1615"/>
      <c r="AE747" s="1615"/>
      <c r="AF747" s="1615"/>
      <c r="AG747" s="1616"/>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39"/>
        <v>0</v>
      </c>
      <c r="Y748" s="1359"/>
      <c r="Z748" s="1359"/>
      <c r="AA748" s="1359"/>
      <c r="AB748" s="1360"/>
      <c r="AC748" s="1614"/>
      <c r="AD748" s="1615"/>
      <c r="AE748" s="1615"/>
      <c r="AF748" s="1615"/>
      <c r="AG748" s="1616"/>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39"/>
        <v>0</v>
      </c>
      <c r="Y749" s="1359"/>
      <c r="Z749" s="1359"/>
      <c r="AA749" s="1359"/>
      <c r="AB749" s="1360"/>
      <c r="AC749" s="1614"/>
      <c r="AD749" s="1615"/>
      <c r="AE749" s="1615"/>
      <c r="AF749" s="1615"/>
      <c r="AG749" s="1616"/>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39"/>
        <v>0</v>
      </c>
      <c r="Y750" s="1359"/>
      <c r="Z750" s="1359"/>
      <c r="AA750" s="1359"/>
      <c r="AB750" s="1360"/>
      <c r="AC750" s="1614"/>
      <c r="AD750" s="1615"/>
      <c r="AE750" s="1615"/>
      <c r="AF750" s="1615"/>
      <c r="AG750" s="1616"/>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39"/>
        <v>0</v>
      </c>
      <c r="Y751" s="1359"/>
      <c r="Z751" s="1359"/>
      <c r="AA751" s="1359"/>
      <c r="AB751" s="1360"/>
      <c r="AC751" s="1614"/>
      <c r="AD751" s="1615"/>
      <c r="AE751" s="1615"/>
      <c r="AF751" s="1615"/>
      <c r="AG751" s="1616"/>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9">
        <f>SUM(G718:G752)</f>
        <v>161</v>
      </c>
      <c r="H753" s="1720"/>
      <c r="I753" s="1720"/>
      <c r="J753" s="1721"/>
      <c r="K753" s="902" t="s">
        <v>124</v>
      </c>
      <c r="L753" s="5"/>
      <c r="M753" s="5"/>
      <c r="N753" s="46"/>
      <c r="O753" s="1358">
        <f>SUMPRODUCT(G718:G752,O718:O752)</f>
        <v>188159</v>
      </c>
      <c r="P753" s="1359"/>
      <c r="Q753" s="1359"/>
      <c r="R753" s="1359"/>
      <c r="S753" s="1360"/>
      <c r="T753"/>
      <c r="U753"/>
      <c r="V753"/>
      <c r="W753"/>
      <c r="X753" s="904" t="s">
        <v>901</v>
      </c>
      <c r="Y753" s="903"/>
      <c r="Z753" s="903"/>
      <c r="AA753" s="903"/>
      <c r="AB753" s="905"/>
      <c r="AC753" s="1618">
        <f>BH753</f>
        <v>0.424223602484472</v>
      </c>
      <c r="AD753" s="1619"/>
      <c r="AE753" s="1619"/>
      <c r="AF753" s="1619"/>
      <c r="AG753" s="1620"/>
      <c r="AH753" s="1618">
        <f>IFERROR(BU753,"")</f>
        <v>0.42422579080395206</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161</v>
      </c>
      <c r="BG753" s="300">
        <f>SUM(BG718:BG752)</f>
        <v>1</v>
      </c>
      <c r="BH753" s="300">
        <f>SUM(BH718:BH752)</f>
        <v>0.424223602484472</v>
      </c>
      <c r="BI753"/>
      <c r="BJ753"/>
      <c r="BK753"/>
      <c r="BL753"/>
      <c r="BO753"/>
      <c r="BP753"/>
      <c r="BQ753"/>
      <c r="BR753"/>
      <c r="BS753" s="859">
        <f>SUM(BS718:BS752)</f>
        <v>161</v>
      </c>
      <c r="BT753" s="300">
        <f>SUM(BT718:BT752)</f>
        <v>1</v>
      </c>
      <c r="BU753" s="300">
        <f>SUM(BU718:BU752)</f>
        <v>0.42422579080395206</v>
      </c>
      <c r="CI753" s="1351">
        <f>SUM(CI718:CJ752)</f>
        <v>47</v>
      </c>
      <c r="CJ753" s="1353"/>
      <c r="CM753" s="1351">
        <f>SUM(CM718:CN752)</f>
        <v>80</v>
      </c>
      <c r="CN753" s="1353"/>
      <c r="CP753" s="1351">
        <f>SUM(CP718:CT752)</f>
        <v>107</v>
      </c>
      <c r="CQ753" s="1352"/>
      <c r="CR753" s="1352"/>
      <c r="CS753" s="1352"/>
      <c r="CT753" s="1353"/>
      <c r="CU753" s="1367">
        <f>SUM(CU718:CY752)</f>
        <v>44</v>
      </c>
      <c r="CV753" s="1367"/>
      <c r="CW753" s="1367"/>
      <c r="CX753" s="1367"/>
      <c r="CY753" s="1367"/>
      <c r="CZ753" s="1367">
        <f>SUM(CZ718:DD752)</f>
        <v>10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56</v>
      </c>
      <c r="DV753" s="1367"/>
      <c r="DW753" s="1367"/>
      <c r="DX753" s="1367"/>
      <c r="DY753" s="1367"/>
      <c r="DZ753" s="1367">
        <f>SUM(DZ718:ED752)</f>
        <v>22</v>
      </c>
      <c r="EA753" s="1367"/>
      <c r="EB753" s="1367"/>
      <c r="EC753" s="1367"/>
      <c r="ED753" s="1367"/>
      <c r="EE753" s="1367">
        <f>SUM(EE718:EI752)</f>
        <v>2</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12190</v>
      </c>
      <c r="FA753" s="1367"/>
      <c r="FB753" s="1367"/>
      <c r="FC753" s="1367"/>
      <c r="FD753" s="1367"/>
      <c r="FE753" s="1367">
        <f>SUM(FE718:FI752)</f>
        <v>9372</v>
      </c>
      <c r="FF753" s="1367"/>
      <c r="FG753" s="1367"/>
      <c r="FH753" s="1367"/>
      <c r="FI753" s="1367"/>
      <c r="FJ753" s="1367">
        <f>SUM(FJ718:FN752)</f>
        <v>6472</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3" t="s">
        <v>1895</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1862</v>
      </c>
      <c r="DO754" s="1351">
        <f>CP753+CU753+CZ753+DE753+DJ753+DO753</f>
        <v>161</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107</v>
      </c>
      <c r="CU755" s="3"/>
      <c r="CV755" s="3"/>
      <c r="CW755" s="3"/>
      <c r="CX755" s="3"/>
      <c r="CY755" s="861">
        <f>CU753*1</f>
        <v>44</v>
      </c>
      <c r="CZ755" s="3"/>
      <c r="DA755" s="3"/>
      <c r="DB755" s="3"/>
      <c r="DC755" s="3"/>
      <c r="DD755" s="861">
        <f>CZ753*2</f>
        <v>20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171</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171</v>
      </c>
      <c r="P756" s="1367"/>
      <c r="Q756" s="1367"/>
      <c r="R756" s="1367"/>
      <c r="S756" s="969"/>
      <c r="T756" s="969"/>
      <c r="U756" s="118" t="s">
        <v>1894</v>
      </c>
      <c r="V756" s="1032"/>
      <c r="W756" s="1032"/>
      <c r="X756" s="1032"/>
      <c r="Y756" s="1033"/>
      <c r="Z756" s="1033"/>
      <c r="AA756" s="1033"/>
      <c r="AB756" s="1033"/>
      <c r="AC756" s="1032"/>
      <c r="AD756" s="1032"/>
      <c r="AE756" s="1032"/>
      <c r="AF756" s="1032"/>
      <c r="AG756" s="1715">
        <v>0</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3" t="s">
        <v>285</v>
      </c>
      <c r="P769" s="1603"/>
      <c r="Q769" s="1603"/>
      <c r="R769" s="1603"/>
      <c r="S769" s="1603"/>
      <c r="T769" s="1512" t="s">
        <v>1680</v>
      </c>
      <c r="U769" s="1513"/>
      <c r="V769" s="1513"/>
      <c r="W769" s="1514"/>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3"/>
      <c r="P770" s="1603"/>
      <c r="Q770" s="1603"/>
      <c r="R770" s="1603"/>
      <c r="S770" s="1603"/>
      <c r="T770" s="1515"/>
      <c r="U770" s="1516"/>
      <c r="V770" s="1516"/>
      <c r="W770" s="1517"/>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3"/>
      <c r="P771" s="1603"/>
      <c r="Q771" s="1603"/>
      <c r="R771" s="1603"/>
      <c r="S771" s="1603"/>
      <c r="T771" s="1515"/>
      <c r="U771" s="1516"/>
      <c r="V771" s="1516"/>
      <c r="W771" s="1517"/>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2</v>
      </c>
      <c r="P773" s="1464"/>
      <c r="Q773" s="1464"/>
      <c r="R773" s="1464"/>
      <c r="S773" s="1464"/>
      <c r="T773" s="1605">
        <f>(612+742)/2</f>
        <v>677</v>
      </c>
      <c r="U773" s="1606"/>
      <c r="V773" s="1606"/>
      <c r="W773" s="1607"/>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5"/>
      <c r="U774" s="1606"/>
      <c r="V774" s="1606"/>
      <c r="W774" s="1607"/>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3" t="s">
        <v>285</v>
      </c>
      <c r="P783" s="1603"/>
      <c r="Q783" s="1603"/>
      <c r="R783" s="1603"/>
      <c r="S783" s="1603"/>
      <c r="T783" s="1512" t="s">
        <v>1680</v>
      </c>
      <c r="U783" s="1513"/>
      <c r="V783" s="1513"/>
      <c r="W783" s="1514"/>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3"/>
      <c r="P784" s="1603"/>
      <c r="Q784" s="1603"/>
      <c r="R784" s="1603"/>
      <c r="S784" s="1603"/>
      <c r="T784" s="1515"/>
      <c r="U784" s="1516"/>
      <c r="V784" s="1516"/>
      <c r="W784" s="1517"/>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3"/>
      <c r="P785" s="1603"/>
      <c r="Q785" s="1603"/>
      <c r="R785" s="1603"/>
      <c r="S785" s="1603"/>
      <c r="T785" s="1515"/>
      <c r="U785" s="1516"/>
      <c r="V785" s="1516"/>
      <c r="W785" s="1517"/>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188159</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2257908</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107</v>
      </c>
      <c r="CQ802" s="1349"/>
      <c r="CR802" s="1349"/>
      <c r="CS802" s="1349"/>
      <c r="CT802" s="1350"/>
      <c r="CU802" s="1348">
        <f>CU753+CU777+CU797</f>
        <v>44</v>
      </c>
      <c r="CV802" s="1349"/>
      <c r="CW802" s="1349"/>
      <c r="CX802" s="1349"/>
      <c r="CY802" s="1350"/>
      <c r="CZ802" s="1348">
        <f>CZ753+CZ777+CZ797</f>
        <v>12</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171</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f>126+10</f>
        <v>136</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3</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46682</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1932576</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f>7*12*163</f>
        <v>13692</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13692</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4204176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3"/>
      <c r="E825" s="1483"/>
      <c r="F825" s="1483"/>
      <c r="G825" s="1483"/>
      <c r="H825" s="1483"/>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784</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334</v>
      </c>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0</v>
      </c>
      <c r="R832" s="1650"/>
      <c r="S832" s="1650"/>
      <c r="T832" s="1650"/>
      <c r="U832" s="1650">
        <f>SUM(U825:X831)</f>
        <v>0</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2759</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3500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10722</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10000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25000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2760</v>
      </c>
      <c r="N846" s="1644"/>
      <c r="O846" s="1644"/>
      <c r="P846" s="1644"/>
      <c r="Q846" s="1644"/>
      <c r="R846" s="1644"/>
      <c r="S846" s="1644"/>
      <c r="T846" s="1644"/>
      <c r="U846" s="1644"/>
      <c r="V846" s="1645"/>
      <c r="W846" s="1639">
        <f>14319+8396+11463+4373</f>
        <v>38551</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87773</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8" t="s">
        <v>345</v>
      </c>
      <c r="K849" s="1409"/>
      <c r="L849" s="1409"/>
      <c r="M849" s="1409"/>
      <c r="N849" s="1409"/>
      <c r="O849" s="1409"/>
      <c r="P849" s="1409"/>
      <c r="Q849" s="1409"/>
      <c r="R849" s="1409"/>
      <c r="S849" s="1409"/>
      <c r="T849" s="1409"/>
      <c r="U849" s="1409"/>
      <c r="V849" s="1411"/>
      <c r="W849" s="1475">
        <v>187077</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f>95000+50000</f>
        <v>145000</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250000</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SUM(W851:W854)</f>
        <v>395000</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f>75974+64022</f>
        <v>139996</v>
      </c>
      <c r="X857" s="1652"/>
      <c r="Y857" s="1652"/>
      <c r="Z857" s="1652"/>
      <c r="AA857" s="1652"/>
      <c r="AB857" s="1652"/>
      <c r="AC857" s="1653"/>
      <c r="AD857" s="528"/>
      <c r="AZ857" s="34"/>
      <c r="BA857" s="34"/>
      <c r="BB857" s="34"/>
      <c r="BC857" s="34"/>
    </row>
    <row r="858" spans="3:55" ht="12.95" customHeight="1">
      <c r="C858" s="2" t="s">
        <v>347</v>
      </c>
      <c r="J858" s="121" t="s">
        <v>1656</v>
      </c>
      <c r="K858" s="5"/>
      <c r="L858" s="5"/>
      <c r="M858" s="5"/>
      <c r="N858" s="5"/>
      <c r="O858" s="5"/>
      <c r="P858" s="5"/>
      <c r="Q858" s="5"/>
      <c r="R858" s="5"/>
      <c r="S858" s="5"/>
      <c r="T858" s="1637">
        <v>4</v>
      </c>
      <c r="U858" s="1600"/>
      <c r="V858" s="163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1">
        <v>173862</v>
      </c>
      <c r="X859" s="1652"/>
      <c r="Y859" s="1652"/>
      <c r="Z859" s="1652"/>
      <c r="AA859" s="1652"/>
      <c r="AB859" s="1652"/>
      <c r="AC859" s="1653"/>
      <c r="AD859" s="533"/>
      <c r="AZ859" s="34"/>
      <c r="BA859" s="34"/>
      <c r="BB859" s="34"/>
      <c r="BC859" s="34"/>
    </row>
    <row r="860" spans="3:55" ht="12.95" customHeight="1">
      <c r="C860" s="2"/>
      <c r="J860" s="121" t="s">
        <v>1657</v>
      </c>
      <c r="K860" s="5"/>
      <c r="L860" s="5"/>
      <c r="M860" s="5"/>
      <c r="N860" s="5"/>
      <c r="O860" s="5"/>
      <c r="P860" s="5"/>
      <c r="Q860" s="5"/>
      <c r="R860" s="5"/>
      <c r="S860" s="5"/>
      <c r="T860" s="1637">
        <v>2</v>
      </c>
      <c r="U860" s="1600"/>
      <c r="V860" s="1638"/>
      <c r="W860" s="874"/>
      <c r="X860" s="875"/>
      <c r="Y860" s="875"/>
      <c r="Z860" s="875"/>
      <c r="AA860" s="875"/>
      <c r="AB860" s="875"/>
      <c r="AC860" s="876"/>
      <c r="AD860" s="533"/>
      <c r="AZ860" s="34"/>
      <c r="BA860" s="34"/>
      <c r="BB860" s="34"/>
      <c r="BC860" s="34"/>
    </row>
    <row r="861" spans="3:55" ht="12.95" customHeight="1">
      <c r="J861" s="45" t="s">
        <v>170</v>
      </c>
      <c r="K861" s="5"/>
      <c r="L861" s="5"/>
      <c r="M861" s="1643" t="s">
        <v>2761</v>
      </c>
      <c r="N861" s="1644"/>
      <c r="O861" s="1644"/>
      <c r="P861" s="1644"/>
      <c r="Q861" s="1644"/>
      <c r="R861" s="1644"/>
      <c r="S861" s="1644"/>
      <c r="T861" s="1644"/>
      <c r="U861" s="1644"/>
      <c r="V861" s="1645"/>
      <c r="W861" s="1651">
        <f>25823+27910</f>
        <v>53733</v>
      </c>
      <c r="X861" s="1652"/>
      <c r="Y861" s="1652"/>
      <c r="Z861" s="1652"/>
      <c r="AA861" s="1652"/>
      <c r="AB861" s="1652"/>
      <c r="AC861" s="165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SUM(W857:W861)</f>
        <v>367591</v>
      </c>
      <c r="X862" s="1641"/>
      <c r="Y862" s="1641"/>
      <c r="Z862" s="1641"/>
      <c r="AA862" s="1641"/>
      <c r="AB862" s="1641"/>
      <c r="AC862" s="164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250000</v>
      </c>
      <c r="X863" s="1652"/>
      <c r="Y863" s="1652"/>
      <c r="Z863" s="1652"/>
      <c r="AA863" s="1652"/>
      <c r="AB863" s="1652"/>
      <c r="AC863" s="165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9"/>
      <c r="X865" s="1639"/>
      <c r="Y865" s="1639"/>
      <c r="Z865" s="1639"/>
      <c r="AA865" s="1639"/>
      <c r="AB865" s="1639"/>
      <c r="AC865" s="1639"/>
      <c r="AU865" s="14"/>
      <c r="AZ865" s="34"/>
      <c r="BA865" s="34"/>
      <c r="BB865" s="34"/>
      <c r="BC865" s="34"/>
    </row>
    <row r="866" spans="3:55" ht="12.95" customHeight="1">
      <c r="J866" s="45" t="s">
        <v>523</v>
      </c>
      <c r="K866" s="5"/>
      <c r="L866" s="5"/>
      <c r="M866" s="5"/>
      <c r="N866" s="5"/>
      <c r="O866" s="5"/>
      <c r="P866" s="5"/>
      <c r="Q866" s="5"/>
      <c r="R866" s="5"/>
      <c r="S866" s="5"/>
      <c r="T866" s="5"/>
      <c r="U866" s="5"/>
      <c r="V866" s="46"/>
      <c r="W866" s="1639">
        <f>15000+75000</f>
        <v>90000</v>
      </c>
      <c r="X866" s="1639"/>
      <c r="Y866" s="1639"/>
      <c r="Z866" s="1639"/>
      <c r="AA866" s="1639"/>
      <c r="AB866" s="1639"/>
      <c r="AC866" s="1639"/>
      <c r="AU866" s="4"/>
      <c r="AZ866" s="34"/>
      <c r="BA866" s="34"/>
      <c r="BB866" s="34"/>
      <c r="BC866" s="34"/>
    </row>
    <row r="867" spans="3:55" ht="12.95" customHeight="1">
      <c r="J867" s="45" t="s">
        <v>522</v>
      </c>
      <c r="K867" s="5"/>
      <c r="L867" s="5"/>
      <c r="M867" s="5"/>
      <c r="N867" s="5"/>
      <c r="O867" s="5"/>
      <c r="P867" s="5"/>
      <c r="Q867" s="5"/>
      <c r="R867" s="5"/>
      <c r="S867" s="5"/>
      <c r="T867" s="5"/>
      <c r="U867" s="5"/>
      <c r="V867" s="46"/>
      <c r="W867" s="1639">
        <v>75000</v>
      </c>
      <c r="X867" s="1639"/>
      <c r="Y867" s="1639"/>
      <c r="Z867" s="1639"/>
      <c r="AA867" s="1639"/>
      <c r="AB867" s="1639"/>
      <c r="AC867" s="1639"/>
      <c r="AU867" s="4"/>
      <c r="AZ867" s="34"/>
      <c r="BA867" s="34"/>
      <c r="BB867" s="34"/>
      <c r="BC867" s="34"/>
    </row>
    <row r="868" spans="3:55" ht="12.95" customHeight="1">
      <c r="J868" s="45" t="s">
        <v>521</v>
      </c>
      <c r="K868" s="5"/>
      <c r="L868" s="5"/>
      <c r="M868" s="5"/>
      <c r="N868" s="5"/>
      <c r="O868" s="5"/>
      <c r="P868" s="5"/>
      <c r="Q868" s="5"/>
      <c r="R868" s="5"/>
      <c r="S868" s="5"/>
      <c r="T868" s="5"/>
      <c r="U868" s="5"/>
      <c r="V868" s="46"/>
      <c r="W868" s="1639">
        <v>15000</v>
      </c>
      <c r="X868" s="1639"/>
      <c r="Y868" s="1639"/>
      <c r="Z868" s="1639"/>
      <c r="AA868" s="1639"/>
      <c r="AB868" s="1639"/>
      <c r="AC868" s="1639"/>
      <c r="AU868" s="4"/>
      <c r="AZ868" s="34"/>
      <c r="BA868" s="34"/>
      <c r="BB868" s="34"/>
      <c r="BC868" s="34"/>
    </row>
    <row r="869" spans="3:55" ht="12.95" customHeight="1">
      <c r="J869" s="45" t="s">
        <v>520</v>
      </c>
      <c r="K869" s="5"/>
      <c r="L869" s="5"/>
      <c r="M869" s="5"/>
      <c r="N869" s="5"/>
      <c r="O869" s="5"/>
      <c r="P869" s="5"/>
      <c r="Q869" s="5"/>
      <c r="R869" s="5"/>
      <c r="S869" s="5"/>
      <c r="T869" s="5"/>
      <c r="U869" s="5"/>
      <c r="V869" s="46"/>
      <c r="W869" s="1639">
        <v>25000</v>
      </c>
      <c r="X869" s="1639"/>
      <c r="Y869" s="1639"/>
      <c r="Z869" s="1639"/>
      <c r="AA869" s="1639"/>
      <c r="AB869" s="1639"/>
      <c r="AC869" s="1639"/>
      <c r="AU869" s="4"/>
      <c r="AZ869" s="34"/>
      <c r="BA869" s="34"/>
      <c r="BB869" s="34"/>
      <c r="BC869" s="34"/>
    </row>
    <row r="870" spans="3:55" ht="12.95" customHeight="1">
      <c r="J870" s="45" t="s">
        <v>519</v>
      </c>
      <c r="K870" s="5"/>
      <c r="L870" s="5"/>
      <c r="M870" s="5"/>
      <c r="N870" s="5"/>
      <c r="O870" s="5"/>
      <c r="P870" s="5"/>
      <c r="Q870" s="5"/>
      <c r="R870" s="5"/>
      <c r="S870" s="5"/>
      <c r="T870" s="5"/>
      <c r="U870" s="5"/>
      <c r="V870" s="46"/>
      <c r="W870" s="1639">
        <v>25000</v>
      </c>
      <c r="X870" s="1639"/>
      <c r="Y870" s="1639"/>
      <c r="Z870" s="1639"/>
      <c r="AA870" s="1639"/>
      <c r="AB870" s="1639"/>
      <c r="AC870" s="1639"/>
      <c r="AU870" s="4"/>
      <c r="AZ870" s="34"/>
      <c r="BA870" s="34"/>
      <c r="BB870" s="34"/>
      <c r="BC870" s="34"/>
    </row>
    <row r="871" spans="3:55" ht="12.95" customHeight="1">
      <c r="J871" s="45" t="s">
        <v>170</v>
      </c>
      <c r="K871" s="5"/>
      <c r="L871" s="5"/>
      <c r="M871" s="1643" t="s">
        <v>2762</v>
      </c>
      <c r="N871" s="1644"/>
      <c r="O871" s="1644"/>
      <c r="P871" s="1644"/>
      <c r="Q871" s="1644"/>
      <c r="R871" s="1644"/>
      <c r="S871" s="1644"/>
      <c r="T871" s="1644"/>
      <c r="U871" s="1644"/>
      <c r="V871" s="1645"/>
      <c r="W871" s="1639">
        <f>25000+20000</f>
        <v>45000</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SUM(W865:W871)</f>
        <v>275000</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3" t="s">
        <v>2763</v>
      </c>
      <c r="N874" s="1644"/>
      <c r="O874" s="1644"/>
      <c r="P874" s="1644"/>
      <c r="Q874" s="1644"/>
      <c r="R874" s="1644"/>
      <c r="S874" s="1644"/>
      <c r="T874" s="1644"/>
      <c r="U874" s="1644"/>
      <c r="V874" s="1645"/>
      <c r="W874" s="1475">
        <v>15000</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3" t="s">
        <v>334</v>
      </c>
      <c r="N875" s="1644"/>
      <c r="O875" s="1644"/>
      <c r="P875" s="1644"/>
      <c r="Q875" s="1644"/>
      <c r="R875" s="1644"/>
      <c r="S875" s="1644"/>
      <c r="T875" s="1644"/>
      <c r="U875" s="1644"/>
      <c r="V875" s="1645"/>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3" t="s">
        <v>334</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15000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1577441</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163</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9677</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3420000</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23400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500*163</f>
        <v>81500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v>42920</v>
      </c>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0</v>
      </c>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v>1500</v>
      </c>
      <c r="AD893" s="1338"/>
      <c r="AE893" s="1338"/>
      <c r="AF893" s="1338"/>
      <c r="AG893" s="1338"/>
      <c r="AH893" s="1339"/>
      <c r="AZ893" s="34"/>
      <c r="BA893" s="34"/>
      <c r="BB893" s="34"/>
      <c r="BC893" s="34"/>
    </row>
    <row r="894" spans="3:55" ht="12.95"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2.9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9" t="s">
        <v>546</v>
      </c>
      <c r="V918" s="1427"/>
      <c r="W918" s="1427"/>
      <c r="X918" s="1427"/>
      <c r="Y918" s="1427"/>
      <c r="Z918" s="1428"/>
      <c r="AA918" s="1633">
        <f>AM554</f>
        <v>80000000</v>
      </c>
      <c r="AB918" s="1525"/>
      <c r="AC918" s="1525"/>
      <c r="AD918" s="1525"/>
      <c r="AE918" s="1525"/>
      <c r="AF918" s="163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9" t="s">
        <v>546</v>
      </c>
      <c r="V919" s="1427"/>
      <c r="W919" s="1427"/>
      <c r="X919" s="1427"/>
      <c r="Y919" s="1427"/>
      <c r="Z919" s="1428"/>
      <c r="AA919" s="1633">
        <f>AM557</f>
        <v>11180000</v>
      </c>
      <c r="AB919" s="1525"/>
      <c r="AC919" s="1525"/>
      <c r="AD919" s="1525"/>
      <c r="AE919" s="1525"/>
      <c r="AF919" s="163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9" t="s">
        <v>592</v>
      </c>
      <c r="V920" s="1427"/>
      <c r="W920" s="1427"/>
      <c r="X920" s="1427"/>
      <c r="Y920" s="1427"/>
      <c r="Z920" s="1428"/>
      <c r="AA920" s="1633"/>
      <c r="AB920" s="1525"/>
      <c r="AC920" s="1525"/>
      <c r="AD920" s="1525"/>
      <c r="AE920" s="1525"/>
      <c r="AF920" s="163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9" t="s">
        <v>592</v>
      </c>
      <c r="V921" s="1427"/>
      <c r="W921" s="1427"/>
      <c r="X921" s="1427"/>
      <c r="Y921" s="1427"/>
      <c r="Z921" s="1428"/>
      <c r="AA921" s="1633"/>
      <c r="AB921" s="1525"/>
      <c r="AC921" s="1525"/>
      <c r="AD921" s="1525"/>
      <c r="AE921" s="1525"/>
      <c r="AF921" s="163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9" t="s">
        <v>592</v>
      </c>
      <c r="V922" s="1427"/>
      <c r="W922" s="1427"/>
      <c r="X922" s="1427"/>
      <c r="Y922" s="1427"/>
      <c r="Z922" s="1428"/>
      <c r="AA922" s="1633"/>
      <c r="AB922" s="1525"/>
      <c r="AC922" s="1525"/>
      <c r="AD922" s="1525"/>
      <c r="AE922" s="1525"/>
      <c r="AF922" s="163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9" t="s">
        <v>592</v>
      </c>
      <c r="V923" s="1427"/>
      <c r="W923" s="1427"/>
      <c r="X923" s="1427"/>
      <c r="Y923" s="1427"/>
      <c r="Z923" s="1428"/>
      <c r="AA923" s="1633"/>
      <c r="AB923" s="1525"/>
      <c r="AC923" s="1525"/>
      <c r="AD923" s="1525"/>
      <c r="AE923" s="1525"/>
      <c r="AF923" s="163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9" t="s">
        <v>592</v>
      </c>
      <c r="V924" s="1427"/>
      <c r="W924" s="1427"/>
      <c r="X924" s="1427"/>
      <c r="Y924" s="1427"/>
      <c r="Z924" s="1428"/>
      <c r="AA924" s="1633"/>
      <c r="AB924" s="1525"/>
      <c r="AC924" s="1525"/>
      <c r="AD924" s="1525"/>
      <c r="AE924" s="1525"/>
      <c r="AF924" s="163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9" t="s">
        <v>592</v>
      </c>
      <c r="V925" s="1427"/>
      <c r="W925" s="1427"/>
      <c r="X925" s="1427"/>
      <c r="Y925" s="1427"/>
      <c r="Z925" s="1428"/>
      <c r="AA925" s="1633"/>
      <c r="AB925" s="1525"/>
      <c r="AC925" s="1525"/>
      <c r="AD925" s="1525"/>
      <c r="AE925" s="1525"/>
      <c r="AF925" s="1634"/>
      <c r="AZ925" s="34"/>
      <c r="BA925" s="34"/>
      <c r="BB925" s="34"/>
      <c r="BC925" s="34"/>
    </row>
    <row r="926" spans="1:58" ht="12.95" customHeight="1">
      <c r="F926" s="1626" t="s">
        <v>2194</v>
      </c>
      <c r="G926" s="1627"/>
      <c r="H926" s="1627"/>
      <c r="I926" s="1627"/>
      <c r="J926" s="1627"/>
      <c r="K926" s="1627"/>
      <c r="L926" s="1627"/>
      <c r="M926" s="1627"/>
      <c r="N926" s="1627"/>
      <c r="O926" s="1627"/>
      <c r="P926" s="1627"/>
      <c r="Q926" s="1627"/>
      <c r="R926" s="1627"/>
      <c r="S926" s="1627"/>
      <c r="T926" s="1628"/>
      <c r="U926" s="1629" t="s">
        <v>592</v>
      </c>
      <c r="V926" s="1427"/>
      <c r="W926" s="1427"/>
      <c r="X926" s="1427"/>
      <c r="Y926" s="1427"/>
      <c r="Z926" s="1428"/>
      <c r="AA926" s="1633"/>
      <c r="AB926" s="1525"/>
      <c r="AC926" s="1525"/>
      <c r="AD926" s="1525"/>
      <c r="AE926" s="1525"/>
      <c r="AF926" s="1634"/>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9" t="s">
        <v>592</v>
      </c>
      <c r="V927" s="1427"/>
      <c r="W927" s="1427"/>
      <c r="X927" s="1427"/>
      <c r="Y927" s="1427"/>
      <c r="Z927" s="1428"/>
      <c r="AA927" s="1633"/>
      <c r="AB927" s="1525"/>
      <c r="AC927" s="1525"/>
      <c r="AD927" s="1525"/>
      <c r="AE927" s="1525"/>
      <c r="AF927" s="1634"/>
      <c r="AU927" s="2"/>
      <c r="AZ927" s="34"/>
      <c r="BA927" s="34"/>
      <c r="BB927" s="34"/>
      <c r="BC927" s="34"/>
    </row>
    <row r="928" spans="1:58" ht="12.95" customHeight="1">
      <c r="F928" s="1626" t="s">
        <v>2195</v>
      </c>
      <c r="G928" s="1627"/>
      <c r="H928" s="1627"/>
      <c r="I928" s="1627"/>
      <c r="J928" s="1627"/>
      <c r="K928" s="1627"/>
      <c r="L928" s="1627"/>
      <c r="M928" s="1627"/>
      <c r="N928" s="1627"/>
      <c r="O928" s="1627"/>
      <c r="P928" s="1627"/>
      <c r="Q928" s="1627"/>
      <c r="R928" s="1627"/>
      <c r="S928" s="1627"/>
      <c r="T928" s="1628"/>
      <c r="U928" s="1629" t="s">
        <v>592</v>
      </c>
      <c r="V928" s="1427"/>
      <c r="W928" s="1427"/>
      <c r="X928" s="1427"/>
      <c r="Y928" s="1427"/>
      <c r="Z928" s="1428"/>
      <c r="AA928" s="1633"/>
      <c r="AB928" s="1525"/>
      <c r="AC928" s="1525"/>
      <c r="AD928" s="1525"/>
      <c r="AE928" s="1525"/>
      <c r="AF928" s="1634"/>
      <c r="AU928" s="2"/>
      <c r="AZ928" s="34"/>
      <c r="BA928" s="34"/>
      <c r="BB928" s="34"/>
      <c r="BC928" s="34"/>
    </row>
    <row r="929" spans="6:55" ht="12.95" customHeight="1">
      <c r="F929" s="1626" t="s">
        <v>2196</v>
      </c>
      <c r="G929" s="1627"/>
      <c r="H929" s="1627"/>
      <c r="I929" s="1627"/>
      <c r="J929" s="1627"/>
      <c r="K929" s="1627"/>
      <c r="L929" s="1627"/>
      <c r="M929" s="1627"/>
      <c r="N929" s="1627"/>
      <c r="O929" s="1627"/>
      <c r="P929" s="1627"/>
      <c r="Q929" s="1627"/>
      <c r="R929" s="1627"/>
      <c r="S929" s="1627"/>
      <c r="T929" s="1628"/>
      <c r="U929" s="1629" t="s">
        <v>592</v>
      </c>
      <c r="V929" s="1427"/>
      <c r="W929" s="1427"/>
      <c r="X929" s="1427"/>
      <c r="Y929" s="1427"/>
      <c r="Z929" s="1428"/>
      <c r="AA929" s="1633"/>
      <c r="AB929" s="1525"/>
      <c r="AC929" s="1525"/>
      <c r="AD929" s="1525"/>
      <c r="AE929" s="1525"/>
      <c r="AF929" s="1634"/>
      <c r="AU929" s="2"/>
      <c r="AZ929" s="34"/>
      <c r="BA929" s="34"/>
      <c r="BB929" s="34"/>
      <c r="BC929" s="34"/>
    </row>
    <row r="930" spans="6:55" ht="12.95" customHeight="1">
      <c r="F930" s="1626" t="s">
        <v>2197</v>
      </c>
      <c r="G930" s="1627"/>
      <c r="H930" s="1627"/>
      <c r="I930" s="1627"/>
      <c r="J930" s="1627"/>
      <c r="K930" s="1627"/>
      <c r="L930" s="1627"/>
      <c r="M930" s="1627"/>
      <c r="N930" s="1627"/>
      <c r="O930" s="1627"/>
      <c r="P930" s="1627"/>
      <c r="Q930" s="1627"/>
      <c r="R930" s="1627"/>
      <c r="S930" s="1627"/>
      <c r="T930" s="1628"/>
      <c r="U930" s="1629" t="s">
        <v>592</v>
      </c>
      <c r="V930" s="1427"/>
      <c r="W930" s="1427"/>
      <c r="X930" s="1427"/>
      <c r="Y930" s="1427"/>
      <c r="Z930" s="1428"/>
      <c r="AA930" s="1633"/>
      <c r="AB930" s="1525"/>
      <c r="AC930" s="1525"/>
      <c r="AD930" s="1525"/>
      <c r="AE930" s="1525"/>
      <c r="AF930" s="1634"/>
      <c r="AU930" s="2"/>
      <c r="AZ930" s="34"/>
      <c r="BA930" s="34"/>
      <c r="BB930" s="34"/>
      <c r="BC930" s="34"/>
    </row>
    <row r="931" spans="6:55" ht="12.95" customHeight="1">
      <c r="F931" s="1626" t="s">
        <v>2198</v>
      </c>
      <c r="G931" s="1627"/>
      <c r="H931" s="1627"/>
      <c r="I931" s="1627"/>
      <c r="J931" s="1627"/>
      <c r="K931" s="1627"/>
      <c r="L931" s="1627"/>
      <c r="M931" s="1627"/>
      <c r="N931" s="1627"/>
      <c r="O931" s="1627"/>
      <c r="P931" s="1627"/>
      <c r="Q931" s="1627"/>
      <c r="R931" s="1627"/>
      <c r="S931" s="1627"/>
      <c r="T931" s="1628"/>
      <c r="U931" s="1629" t="s">
        <v>592</v>
      </c>
      <c r="V931" s="1427"/>
      <c r="W931" s="1427"/>
      <c r="X931" s="1427"/>
      <c r="Y931" s="1427"/>
      <c r="Z931" s="1428"/>
      <c r="AA931" s="1633"/>
      <c r="AB931" s="1525"/>
      <c r="AC931" s="1525"/>
      <c r="AD931" s="1525"/>
      <c r="AE931" s="1525"/>
      <c r="AF931" s="1634"/>
      <c r="AU931" s="2"/>
      <c r="AZ931" s="34"/>
      <c r="BA931" s="34"/>
      <c r="BB931" s="34"/>
      <c r="BC931" s="34"/>
    </row>
    <row r="932" spans="6:55" ht="12.95" customHeight="1">
      <c r="F932" s="1626" t="s">
        <v>2199</v>
      </c>
      <c r="G932" s="1627"/>
      <c r="H932" s="1627"/>
      <c r="I932" s="1627"/>
      <c r="J932" s="1627"/>
      <c r="K932" s="1627"/>
      <c r="L932" s="1627"/>
      <c r="M932" s="1627"/>
      <c r="N932" s="1627"/>
      <c r="O932" s="1627"/>
      <c r="P932" s="1627"/>
      <c r="Q932" s="1627"/>
      <c r="R932" s="1627"/>
      <c r="S932" s="1627"/>
      <c r="T932" s="1628"/>
      <c r="U932" s="1629" t="s">
        <v>592</v>
      </c>
      <c r="V932" s="1427"/>
      <c r="W932" s="1427"/>
      <c r="X932" s="1427"/>
      <c r="Y932" s="1427"/>
      <c r="Z932" s="1428"/>
      <c r="AA932" s="1633"/>
      <c r="AB932" s="1525"/>
      <c r="AC932" s="1525"/>
      <c r="AD932" s="1525"/>
      <c r="AE932" s="1525"/>
      <c r="AF932" s="1634"/>
      <c r="AZ932" s="30"/>
      <c r="BA932" s="30"/>
    </row>
    <row r="933" spans="6:55" ht="12.95" customHeight="1">
      <c r="F933" s="178" t="s">
        <v>677</v>
      </c>
      <c r="G933" s="5"/>
      <c r="H933" s="5"/>
      <c r="I933" s="5"/>
      <c r="J933" s="5"/>
      <c r="K933" s="5"/>
      <c r="L933" s="5"/>
      <c r="M933" s="5"/>
      <c r="N933" s="5"/>
      <c r="O933" s="5"/>
      <c r="P933" s="5"/>
      <c r="Q933" s="5"/>
      <c r="R933" s="5"/>
      <c r="S933" s="5"/>
      <c r="T933" s="46"/>
      <c r="U933" s="1629" t="s">
        <v>592</v>
      </c>
      <c r="V933" s="1427"/>
      <c r="W933" s="1427"/>
      <c r="X933" s="1427"/>
      <c r="Y933" s="1427"/>
      <c r="Z933" s="1428"/>
      <c r="AA933" s="1633"/>
      <c r="AB933" s="1525"/>
      <c r="AC933" s="1525"/>
      <c r="AD933" s="1525"/>
      <c r="AE933" s="1525"/>
      <c r="AF933" s="1634"/>
    </row>
    <row r="934" spans="6:55" ht="12.95" customHeight="1">
      <c r="F934" s="121" t="s">
        <v>1278</v>
      </c>
      <c r="G934" s="5"/>
      <c r="H934" s="5"/>
      <c r="I934" s="5"/>
      <c r="J934" s="5"/>
      <c r="K934" s="5"/>
      <c r="L934" s="5"/>
      <c r="M934" s="5"/>
      <c r="N934" s="5"/>
      <c r="O934" s="5"/>
      <c r="P934" s="5"/>
      <c r="Q934" s="5"/>
      <c r="R934" s="5"/>
      <c r="S934" s="5"/>
      <c r="T934" s="46"/>
      <c r="U934" s="1629" t="s">
        <v>592</v>
      </c>
      <c r="V934" s="1427"/>
      <c r="W934" s="1427"/>
      <c r="X934" s="1427"/>
      <c r="Y934" s="1427"/>
      <c r="Z934" s="1428"/>
      <c r="AA934" s="1633"/>
      <c r="AB934" s="1525"/>
      <c r="AC934" s="1525"/>
      <c r="AD934" s="1525"/>
      <c r="AE934" s="1525"/>
      <c r="AF934" s="1634"/>
      <c r="AZ934" s="30"/>
      <c r="BA934" s="14"/>
    </row>
    <row r="935" spans="6:55" ht="12.95" customHeight="1">
      <c r="F935" s="66" t="s">
        <v>803</v>
      </c>
      <c r="G935" s="5"/>
      <c r="H935" s="5"/>
      <c r="I935" s="5"/>
      <c r="J935" s="5"/>
      <c r="K935" s="5"/>
      <c r="L935" s="5"/>
      <c r="M935" s="5"/>
      <c r="N935" s="5"/>
      <c r="O935" s="5"/>
      <c r="P935" s="5"/>
      <c r="Q935" s="5"/>
      <c r="R935" s="5"/>
      <c r="S935" s="5"/>
      <c r="T935" s="46"/>
      <c r="U935" s="1629" t="s">
        <v>592</v>
      </c>
      <c r="V935" s="1427"/>
      <c r="W935" s="1427"/>
      <c r="X935" s="1427"/>
      <c r="Y935" s="1427"/>
      <c r="Z935" s="1428"/>
      <c r="AA935" s="1633"/>
      <c r="AB935" s="1525"/>
      <c r="AC935" s="1525"/>
      <c r="AD935" s="1525"/>
      <c r="AE935" s="1525"/>
      <c r="AF935" s="1634"/>
      <c r="AZ935" s="30"/>
      <c r="BA935" s="14"/>
    </row>
    <row r="936" spans="6:55" ht="12.95" customHeight="1">
      <c r="F936" s="1630" t="s">
        <v>2203</v>
      </c>
      <c r="G936" s="1631"/>
      <c r="H936" s="1631"/>
      <c r="I936" s="1631"/>
      <c r="J936" s="1631"/>
      <c r="K936" s="1631"/>
      <c r="L936" s="1631"/>
      <c r="M936" s="1631"/>
      <c r="N936" s="1631"/>
      <c r="O936" s="1631"/>
      <c r="P936" s="1631"/>
      <c r="Q936" s="1631"/>
      <c r="R936" s="1631"/>
      <c r="S936" s="1631"/>
      <c r="T936" s="1632"/>
      <c r="U936" s="1629" t="s">
        <v>592</v>
      </c>
      <c r="V936" s="1427"/>
      <c r="W936" s="1427"/>
      <c r="X936" s="1427"/>
      <c r="Y936" s="1427"/>
      <c r="Z936" s="1428"/>
      <c r="AA936" s="1633"/>
      <c r="AB936" s="1525"/>
      <c r="AC936" s="1525"/>
      <c r="AD936" s="1525"/>
      <c r="AE936" s="1525"/>
      <c r="AF936" s="1634"/>
      <c r="AZ936" s="30"/>
      <c r="BA936" s="14"/>
    </row>
    <row r="937" spans="6:55" ht="12.95" customHeight="1">
      <c r="F937" s="1630" t="s">
        <v>2204</v>
      </c>
      <c r="G937" s="1631"/>
      <c r="H937" s="1631"/>
      <c r="I937" s="1631"/>
      <c r="J937" s="1631"/>
      <c r="K937" s="1631"/>
      <c r="L937" s="1631"/>
      <c r="M937" s="1631"/>
      <c r="N937" s="1631"/>
      <c r="O937" s="1631"/>
      <c r="P937" s="1631"/>
      <c r="Q937" s="1631"/>
      <c r="R937" s="1631"/>
      <c r="S937" s="1631"/>
      <c r="T937" s="1632"/>
      <c r="U937" s="1629" t="s">
        <v>592</v>
      </c>
      <c r="V937" s="1427"/>
      <c r="W937" s="1427"/>
      <c r="X937" s="1427"/>
      <c r="Y937" s="1427"/>
      <c r="Z937" s="1428"/>
      <c r="AA937" s="1633"/>
      <c r="AB937" s="1525"/>
      <c r="AC937" s="1525"/>
      <c r="AD937" s="1525"/>
      <c r="AE937" s="1525"/>
      <c r="AF937" s="1634"/>
      <c r="AZ937" s="30"/>
      <c r="BA937" s="30"/>
    </row>
    <row r="938" spans="6:55" ht="12.95" customHeight="1">
      <c r="F938" s="1626" t="s">
        <v>2200</v>
      </c>
      <c r="G938" s="1627"/>
      <c r="H938" s="1627"/>
      <c r="I938" s="1627"/>
      <c r="J938" s="1627"/>
      <c r="K938" s="1627"/>
      <c r="L938" s="1627"/>
      <c r="M938" s="1627"/>
      <c r="N938" s="1627"/>
      <c r="O938" s="1627"/>
      <c r="P938" s="1627"/>
      <c r="Q938" s="1627"/>
      <c r="R938" s="1627"/>
      <c r="S938" s="1627"/>
      <c r="T938" s="1628"/>
      <c r="U938" s="1629" t="s">
        <v>592</v>
      </c>
      <c r="V938" s="1427"/>
      <c r="W938" s="1427"/>
      <c r="X938" s="1427"/>
      <c r="Y938" s="1427"/>
      <c r="Z938" s="1428"/>
      <c r="AA938" s="1633"/>
      <c r="AB938" s="1525"/>
      <c r="AC938" s="1525"/>
      <c r="AD938" s="1525"/>
      <c r="AE938" s="1525"/>
      <c r="AF938" s="1634"/>
      <c r="AZ938" s="30"/>
      <c r="BA938" s="30"/>
    </row>
    <row r="939" spans="6:55" ht="12.95" customHeight="1">
      <c r="F939" s="1626" t="s">
        <v>2201</v>
      </c>
      <c r="G939" s="1627"/>
      <c r="H939" s="1627"/>
      <c r="I939" s="1627"/>
      <c r="J939" s="1627"/>
      <c r="K939" s="1627"/>
      <c r="L939" s="1627"/>
      <c r="M939" s="1627"/>
      <c r="N939" s="1627"/>
      <c r="O939" s="1627"/>
      <c r="P939" s="1627"/>
      <c r="Q939" s="1627"/>
      <c r="R939" s="1627"/>
      <c r="S939" s="1627"/>
      <c r="T939" s="1628"/>
      <c r="U939" s="1629" t="s">
        <v>592</v>
      </c>
      <c r="V939" s="1427"/>
      <c r="W939" s="1427"/>
      <c r="X939" s="1427"/>
      <c r="Y939" s="1427"/>
      <c r="Z939" s="1428"/>
      <c r="AA939" s="1633"/>
      <c r="AB939" s="1525"/>
      <c r="AC939" s="1525"/>
      <c r="AD939" s="1525"/>
      <c r="AE939" s="1525"/>
      <c r="AF939" s="1634"/>
      <c r="AZ939" s="30"/>
      <c r="BA939" s="30"/>
    </row>
    <row r="940" spans="6:55" ht="12.95" customHeight="1">
      <c r="F940" s="1626" t="s">
        <v>2202</v>
      </c>
      <c r="G940" s="1627"/>
      <c r="H940" s="1627"/>
      <c r="I940" s="1627"/>
      <c r="J940" s="1627"/>
      <c r="K940" s="1627"/>
      <c r="L940" s="1627"/>
      <c r="M940" s="1627"/>
      <c r="N940" s="1627"/>
      <c r="O940" s="1627"/>
      <c r="P940" s="1627"/>
      <c r="Q940" s="1627"/>
      <c r="R940" s="1627"/>
      <c r="S940" s="1627"/>
      <c r="T940" s="1628"/>
      <c r="U940" s="1629" t="s">
        <v>592</v>
      </c>
      <c r="V940" s="1427"/>
      <c r="W940" s="1427"/>
      <c r="X940" s="1427"/>
      <c r="Y940" s="1427"/>
      <c r="Z940" s="1428"/>
      <c r="AA940" s="1633"/>
      <c r="AB940" s="1525"/>
      <c r="AC940" s="1525"/>
      <c r="AD940" s="1525"/>
      <c r="AE940" s="1525"/>
      <c r="AF940" s="163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9" t="s">
        <v>592</v>
      </c>
      <c r="V941" s="1427"/>
      <c r="W941" s="1427"/>
      <c r="X941" s="1427"/>
      <c r="Y941" s="1427"/>
      <c r="Z941" s="1428"/>
      <c r="AA941" s="1633"/>
      <c r="AB941" s="1525"/>
      <c r="AC941" s="1525"/>
      <c r="AD941" s="1525"/>
      <c r="AE941" s="1525"/>
      <c r="AF941" s="1634"/>
      <c r="AZ941" s="34"/>
      <c r="BA941" s="34"/>
      <c r="BB941" s="14"/>
      <c r="BC941" s="14"/>
    </row>
    <row r="942" spans="6:55" ht="12.95" customHeight="1">
      <c r="F942" s="1630" t="s">
        <v>2205</v>
      </c>
      <c r="G942" s="1631"/>
      <c r="H942" s="1631"/>
      <c r="I942" s="1631"/>
      <c r="J942" s="1631"/>
      <c r="K942" s="1631"/>
      <c r="L942" s="1631"/>
      <c r="M942" s="1631"/>
      <c r="N942" s="1631"/>
      <c r="O942" s="1631"/>
      <c r="P942" s="1631"/>
      <c r="Q942" s="1631"/>
      <c r="R942" s="1631"/>
      <c r="S942" s="1631"/>
      <c r="T942" s="1632"/>
      <c r="U942" s="1629" t="s">
        <v>592</v>
      </c>
      <c r="V942" s="1427"/>
      <c r="W942" s="1427"/>
      <c r="X942" s="1427"/>
      <c r="Y942" s="1427"/>
      <c r="Z942" s="1428"/>
      <c r="AA942" s="1633"/>
      <c r="AB942" s="1525"/>
      <c r="AC942" s="1525"/>
      <c r="AD942" s="1525"/>
      <c r="AE942" s="1525"/>
      <c r="AF942" s="163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9" t="s">
        <v>592</v>
      </c>
      <c r="V943" s="1427"/>
      <c r="W943" s="1427"/>
      <c r="X943" s="1427"/>
      <c r="Y943" s="1427"/>
      <c r="Z943" s="1428"/>
      <c r="AA943" s="1633"/>
      <c r="AB943" s="1525"/>
      <c r="AC943" s="1525"/>
      <c r="AD943" s="1525"/>
      <c r="AE943" s="1525"/>
      <c r="AF943" s="1634"/>
      <c r="AZ943" s="34"/>
      <c r="BA943" s="34"/>
      <c r="BB943" s="34"/>
      <c r="BC943" s="34"/>
    </row>
    <row r="944" spans="6:55" ht="12.95" customHeight="1">
      <c r="F944" s="1630" t="s">
        <v>2206</v>
      </c>
      <c r="G944" s="1631"/>
      <c r="H944" s="1631"/>
      <c r="I944" s="1631"/>
      <c r="J944" s="1631"/>
      <c r="K944" s="1631"/>
      <c r="L944" s="1631"/>
      <c r="M944" s="1631"/>
      <c r="N944" s="1631"/>
      <c r="O944" s="1631"/>
      <c r="P944" s="1631"/>
      <c r="Q944" s="1631"/>
      <c r="R944" s="1631"/>
      <c r="S944" s="1631"/>
      <c r="T944" s="1632"/>
      <c r="U944" s="1629" t="s">
        <v>592</v>
      </c>
      <c r="V944" s="1427"/>
      <c r="W944" s="1427"/>
      <c r="X944" s="1427"/>
      <c r="Y944" s="1427"/>
      <c r="Z944" s="1428"/>
      <c r="AA944" s="1633"/>
      <c r="AB944" s="1525"/>
      <c r="AC944" s="1525"/>
      <c r="AD944" s="1525"/>
      <c r="AE944" s="1525"/>
      <c r="AF944" s="1634"/>
      <c r="AZ944" s="34"/>
      <c r="BA944" s="34"/>
      <c r="BB944" s="34"/>
      <c r="BC944" s="34"/>
    </row>
    <row r="945" spans="1:55" ht="12.95" customHeight="1">
      <c r="F945" s="45" t="s">
        <v>807</v>
      </c>
      <c r="G945" s="5"/>
      <c r="H945" s="5"/>
      <c r="I945" s="5"/>
      <c r="J945" s="5"/>
      <c r="K945" s="5"/>
      <c r="L945" s="5"/>
      <c r="M945" s="5"/>
      <c r="N945" s="5"/>
      <c r="O945" s="5"/>
      <c r="P945" s="1629" t="s">
        <v>670</v>
      </c>
      <c r="Q945" s="1427"/>
      <c r="R945" s="1427"/>
      <c r="S945" s="1427"/>
      <c r="T945" s="1428"/>
      <c r="U945" s="1629" t="s">
        <v>592</v>
      </c>
      <c r="V945" s="1427"/>
      <c r="W945" s="1427"/>
      <c r="X945" s="1427"/>
      <c r="Y945" s="1427"/>
      <c r="Z945" s="1428"/>
      <c r="AA945" s="1633"/>
      <c r="AB945" s="1525"/>
      <c r="AC945" s="1525"/>
      <c r="AD945" s="1525"/>
      <c r="AE945" s="1525"/>
      <c r="AF945" s="1634"/>
      <c r="AZ945" s="34"/>
      <c r="BA945" s="34"/>
      <c r="BB945" s="34"/>
      <c r="BC945" s="34"/>
    </row>
    <row r="946" spans="1:55" ht="12.95" customHeight="1">
      <c r="F946" s="1626" t="s">
        <v>2193</v>
      </c>
      <c r="G946" s="1627"/>
      <c r="H946" s="1628"/>
      <c r="I946" s="1643" t="s">
        <v>334</v>
      </c>
      <c r="J946" s="1644"/>
      <c r="K946" s="1644"/>
      <c r="L946" s="1644"/>
      <c r="M946" s="1644"/>
      <c r="N946" s="1644"/>
      <c r="O946" s="1644"/>
      <c r="P946" s="1644"/>
      <c r="Q946" s="1644"/>
      <c r="R946" s="1644"/>
      <c r="S946" s="1644"/>
      <c r="T946" s="1645"/>
      <c r="U946" s="1629" t="s">
        <v>592</v>
      </c>
      <c r="V946" s="1427"/>
      <c r="W946" s="1427"/>
      <c r="X946" s="1427"/>
      <c r="Y946" s="1427"/>
      <c r="Z946" s="1428"/>
      <c r="AA946" s="1633"/>
      <c r="AB946" s="1525"/>
      <c r="AC946" s="1525"/>
      <c r="AD946" s="1525"/>
      <c r="AE946" s="1525"/>
      <c r="AF946" s="1634"/>
      <c r="AZ946" s="34"/>
      <c r="BA946" s="34"/>
      <c r="BB946" s="34"/>
      <c r="BC946" s="34"/>
    </row>
    <row r="947" spans="1:55" ht="12.95" customHeight="1">
      <c r="F947" s="45" t="s">
        <v>86</v>
      </c>
      <c r="G947" s="48"/>
      <c r="H947" s="48"/>
      <c r="I947" s="1643" t="s">
        <v>334</v>
      </c>
      <c r="J947" s="1644"/>
      <c r="K947" s="1644"/>
      <c r="L947" s="1644"/>
      <c r="M947" s="1644"/>
      <c r="N947" s="1644"/>
      <c r="O947" s="1644"/>
      <c r="P947" s="1644"/>
      <c r="Q947" s="1644"/>
      <c r="R947" s="1644"/>
      <c r="S947" s="1644"/>
      <c r="T947" s="1645"/>
      <c r="U947" s="1629" t="s">
        <v>592</v>
      </c>
      <c r="V947" s="1427"/>
      <c r="W947" s="1427"/>
      <c r="X947" s="1427"/>
      <c r="Y947" s="1427"/>
      <c r="Z947" s="1428"/>
      <c r="AA947" s="1633"/>
      <c r="AB947" s="1525"/>
      <c r="AC947" s="1525"/>
      <c r="AD947" s="1525"/>
      <c r="AE947" s="1525"/>
      <c r="AF947" s="1634"/>
      <c r="AZ947" s="34"/>
      <c r="BA947" s="34"/>
      <c r="BB947" s="34"/>
      <c r="BC947" s="34"/>
    </row>
    <row r="948" spans="1:55" ht="12.95" customHeight="1">
      <c r="F948" s="45" t="s">
        <v>10</v>
      </c>
      <c r="G948" s="48"/>
      <c r="H948" s="48"/>
      <c r="I948" s="1699" t="s">
        <v>334</v>
      </c>
      <c r="J948" s="1700"/>
      <c r="K948" s="1700"/>
      <c r="L948" s="1700"/>
      <c r="M948" s="1700"/>
      <c r="N948" s="1700"/>
      <c r="O948" s="1700"/>
      <c r="P948" s="1700"/>
      <c r="Q948" s="1700"/>
      <c r="R948" s="1700"/>
      <c r="S948" s="1700"/>
      <c r="T948" s="1701"/>
      <c r="U948" s="1629" t="s">
        <v>592</v>
      </c>
      <c r="V948" s="1427"/>
      <c r="W948" s="1427"/>
      <c r="X948" s="1427"/>
      <c r="Y948" s="1427"/>
      <c r="Z948" s="1428"/>
      <c r="AA948" s="1633"/>
      <c r="AB948" s="1525"/>
      <c r="AC948" s="1525"/>
      <c r="AD948" s="1525"/>
      <c r="AE948" s="1525"/>
      <c r="AF948" s="1634"/>
      <c r="AV948" s="2"/>
      <c r="AW948" s="2"/>
      <c r="AX948" s="2"/>
      <c r="AY948" s="2"/>
      <c r="AZ948" s="34"/>
      <c r="BA948" s="34"/>
      <c r="BB948" s="34"/>
      <c r="BC948" s="34"/>
    </row>
    <row r="949" spans="1:55" ht="12.95" customHeight="1">
      <c r="F949" s="47" t="s">
        <v>170</v>
      </c>
      <c r="G949" s="48"/>
      <c r="H949" s="48"/>
      <c r="I949" s="1699" t="s">
        <v>2764</v>
      </c>
      <c r="J949" s="1700"/>
      <c r="K949" s="1700"/>
      <c r="L949" s="1700"/>
      <c r="M949" s="1700"/>
      <c r="N949" s="1700"/>
      <c r="O949" s="1700"/>
      <c r="P949" s="1700"/>
      <c r="Q949" s="1700"/>
      <c r="R949" s="1700"/>
      <c r="S949" s="1700"/>
      <c r="T949" s="1701"/>
      <c r="U949" s="1629" t="s">
        <v>546</v>
      </c>
      <c r="V949" s="1427"/>
      <c r="W949" s="1427"/>
      <c r="X949" s="1427"/>
      <c r="Y949" s="1427"/>
      <c r="Z949" s="1428"/>
      <c r="AA949" s="1633">
        <f>AM556</f>
        <v>7920000</v>
      </c>
      <c r="AB949" s="1525"/>
      <c r="AC949" s="1525"/>
      <c r="AD949" s="1525"/>
      <c r="AE949" s="1525"/>
      <c r="AF949" s="1634"/>
      <c r="AU949" s="2"/>
      <c r="AZ949" s="34"/>
      <c r="BA949" s="34"/>
      <c r="BB949" s="34"/>
      <c r="BC949" s="34"/>
    </row>
    <row r="950" spans="1:55" ht="12.95" customHeight="1">
      <c r="F950" s="47" t="s">
        <v>170</v>
      </c>
      <c r="G950" s="48"/>
      <c r="H950" s="48"/>
      <c r="I950" s="1699" t="s">
        <v>334</v>
      </c>
      <c r="J950" s="1700"/>
      <c r="K950" s="1700"/>
      <c r="L950" s="1700"/>
      <c r="M950" s="1700"/>
      <c r="N950" s="1700"/>
      <c r="O950" s="1700"/>
      <c r="P950" s="1700"/>
      <c r="Q950" s="1700"/>
      <c r="R950" s="1700"/>
      <c r="S950" s="1700"/>
      <c r="T950" s="1701"/>
      <c r="U950" s="1629" t="s">
        <v>592</v>
      </c>
      <c r="V950" s="1427"/>
      <c r="W950" s="1427"/>
      <c r="X950" s="1427"/>
      <c r="Y950" s="1427"/>
      <c r="Z950" s="1428"/>
      <c r="AA950" s="1633"/>
      <c r="AB950" s="1525"/>
      <c r="AC950" s="1525"/>
      <c r="AD950" s="1525"/>
      <c r="AE950" s="1525"/>
      <c r="AF950" s="163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2.95" customHeight="1">
      <c r="C956" s="66" t="s">
        <v>12</v>
      </c>
      <c r="D956" s="5"/>
      <c r="E956" s="5"/>
      <c r="F956" s="5"/>
      <c r="G956" s="5"/>
      <c r="H956" s="5"/>
      <c r="I956" s="5"/>
      <c r="J956" s="5"/>
      <c r="K956" s="5"/>
      <c r="L956" s="46"/>
      <c r="M956" s="1662"/>
      <c r="N956" s="1531"/>
      <c r="O956" s="1531"/>
      <c r="P956" s="1531"/>
      <c r="Q956" s="1531"/>
      <c r="R956" s="1531"/>
      <c r="S956" s="1663"/>
      <c r="U956" s="66" t="s">
        <v>12</v>
      </c>
      <c r="V956" s="5"/>
      <c r="W956" s="5"/>
      <c r="X956" s="5"/>
      <c r="Y956" s="5"/>
      <c r="Z956" s="5"/>
      <c r="AA956" s="5"/>
      <c r="AB956" s="5"/>
      <c r="AC956" s="5"/>
      <c r="AD956" s="46"/>
      <c r="AE956" s="1662"/>
      <c r="AF956" s="1531"/>
      <c r="AG956" s="1531"/>
      <c r="AH956" s="1531"/>
      <c r="AI956" s="1531"/>
      <c r="AJ956" s="1531"/>
      <c r="AK956" s="1663"/>
      <c r="AZ956" s="34"/>
      <c r="BA956" s="34"/>
      <c r="BB956" s="34"/>
      <c r="BC956" s="34"/>
    </row>
    <row r="957" spans="1:55" ht="12.95" customHeight="1">
      <c r="C957" s="66" t="s">
        <v>881</v>
      </c>
      <c r="D957" s="5"/>
      <c r="E957" s="5"/>
      <c r="J957" s="1807" t="s">
        <v>307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2.95"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t="s">
        <v>546</v>
      </c>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7" t="s">
        <v>2765</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546</v>
      </c>
      <c r="P974" s="1372"/>
      <c r="Q974" s="92"/>
      <c r="R974" s="92"/>
      <c r="S974" s="93"/>
      <c r="T974" s="41" t="s">
        <v>170</v>
      </c>
      <c r="U974" s="42"/>
      <c r="V974" s="42"/>
      <c r="W974" s="1810" t="s">
        <v>2766</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3"/>
      <c r="H975" s="1483"/>
      <c r="I975" s="1483"/>
      <c r="J975" s="1483"/>
      <c r="K975" s="1483"/>
      <c r="L975" s="1483"/>
      <c r="M975" s="1659">
        <f>(('[1]Points System'!I224*'[1]Points System'!T224)+('[1]Points System'!I225*'[1]Points System'!T225)+('[1]Points System'!I226*'[1]Points System'!T226)+('[1]Points System'!I227*'[1]Points System'!T227))*12</f>
        <v>349704</v>
      </c>
      <c r="N975" s="1660"/>
      <c r="O975" s="1660"/>
      <c r="P975" s="1660"/>
      <c r="Q975" s="1660"/>
      <c r="R975" s="1660"/>
      <c r="S975" s="1661"/>
      <c r="T975" s="47"/>
      <c r="U975" s="48"/>
      <c r="V975" s="48"/>
      <c r="W975" s="48"/>
      <c r="X975" s="48"/>
      <c r="Y975" s="48"/>
      <c r="Z975" s="124" t="s">
        <v>134</v>
      </c>
      <c r="AA975" s="1759">
        <f>(('[1]Points System'!I228*'[1]Points System'!T228)+('[1]Points System'!I229*'[1]Points System'!T229)+('[1]Points System'!I230*'[1]Points System'!T230))*12</f>
        <v>2422320</v>
      </c>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107</v>
      </c>
      <c r="AC986" s="1781"/>
      <c r="AD986" s="1781"/>
      <c r="AE986" s="1781"/>
      <c r="AF986" s="1781"/>
      <c r="AG986" s="1781"/>
      <c r="AH986" s="1781"/>
      <c r="AI986" s="1782"/>
      <c r="AJ986" s="1716">
        <f>IF(ISERROR((R986*AB986)),0,(R986*AB986))</f>
        <v>46836789</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44</v>
      </c>
      <c r="AC987" s="1781"/>
      <c r="AD987" s="1781"/>
      <c r="AE987" s="1781"/>
      <c r="AF987" s="1781"/>
      <c r="AG987" s="1781"/>
      <c r="AH987" s="1781"/>
      <c r="AI987" s="1782"/>
      <c r="AJ987" s="1716">
        <f>IF(ISERROR((R987*AB987)),0,(R987*AB987))</f>
        <v>22206580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12</v>
      </c>
      <c r="AC988" s="1781"/>
      <c r="AD988" s="1781"/>
      <c r="AE988" s="1781"/>
      <c r="AF988" s="1781"/>
      <c r="AG988" s="1781"/>
      <c r="AH988" s="1781"/>
      <c r="AI988" s="1782"/>
      <c r="AJ988" s="1716">
        <f>IF(ISERROR((R988*AB988)),0,(R988*AB988))</f>
        <v>7305600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163</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76348969</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7"/>
      <c r="C995" s="256"/>
      <c r="D995" s="1768" t="s">
        <v>2237</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7"/>
      <c r="C999" s="256"/>
      <c r="D999" s="1771" t="s">
        <v>2207</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161</v>
      </c>
      <c r="AZ1003" s="34"/>
      <c r="BB1003" s="34"/>
    </row>
    <row r="1004" spans="1:55" ht="12.9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0.28999999999999998</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0.49</v>
      </c>
      <c r="AZ1006" s="34"/>
      <c r="BB1006" s="34"/>
    </row>
    <row r="1007" spans="1:55" ht="12.95"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5"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2609</v>
      </c>
    </row>
    <row r="1013" spans="1:52" ht="12.95"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5" customHeight="1">
      <c r="A1016" s="14"/>
      <c r="B1016" s="79"/>
      <c r="C1016" s="80" t="s">
        <v>218</v>
      </c>
      <c r="D1016" s="1734" t="s">
        <v>2238</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5"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5"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546</v>
      </c>
      <c r="AH1020" s="1752"/>
      <c r="AI1020" s="87"/>
      <c r="AJ1020" s="1725">
        <f>ROUND(IF(AND(AG1020="Yes",J1024&lt;&gt;"N/A",AF1023&lt;&gt;""),MIN(AF1023,(0.15*AJ992)),0),0)</f>
        <v>11452345</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Please Select Type and Enter Amount:</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5"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v>12827097</v>
      </c>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2" t="s">
        <v>2767</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670</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7634897</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546</v>
      </c>
      <c r="AH1032" s="1752"/>
      <c r="AI1032" s="87"/>
      <c r="AJ1032" s="1725">
        <f>ROUND(IF(AG1032="yes",(AJ992*0.15),0),0)</f>
        <v>11452345</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189991.5582822086</v>
      </c>
      <c r="BB1038" s="1183" t="s">
        <v>2491</v>
      </c>
      <c r="BC1038" s="1183"/>
      <c r="BD1038" s="1183"/>
      <c r="BE1038" s="1183"/>
    </row>
    <row r="1039" spans="1:57" ht="12.95"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0.78881987577639756</v>
      </c>
      <c r="BB1039" s="3" t="s">
        <v>2495</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2493</v>
      </c>
    </row>
    <row r="1042" spans="1:56" ht="12.95"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2494</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1685</v>
      </c>
      <c r="D1045" s="1734" t="s">
        <v>1866</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22141201.009999998</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8792325.2999999989</v>
      </c>
      <c r="BA1046" s="1182">
        <f>IF(BA1040,20%,15%)</f>
        <v>0.15</v>
      </c>
      <c r="BB1046" s="3" t="s">
        <v>2481</v>
      </c>
      <c r="BC1046" s="3" t="s">
        <v>2482</v>
      </c>
      <c r="BD1046" s="3"/>
    </row>
    <row r="1047" spans="1:56" ht="12.9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8">
        <f>AY1003</f>
        <v>161</v>
      </c>
      <c r="J1048" s="1789"/>
      <c r="K1048" s="7"/>
      <c r="L1048" s="133"/>
      <c r="M1048" s="133"/>
      <c r="N1048" s="133"/>
      <c r="O1048" s="133"/>
      <c r="P1048" s="133"/>
      <c r="Q1048" s="133"/>
      <c r="R1048" s="133"/>
      <c r="S1048" s="133"/>
      <c r="T1048" s="133"/>
      <c r="U1048" s="133"/>
      <c r="V1048" s="134" t="s">
        <v>974</v>
      </c>
      <c r="W1048" s="48"/>
      <c r="X1048" s="1786">
        <f>CI753</f>
        <v>47</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10133122.65</v>
      </c>
      <c r="BA1048" s="1182" cm="1">
        <f t="array" ref="BA1048">_xlfn.IFS(X180="Yes",5%,$BA$1038&gt;50000,15%,BA1039&gt;=30%,15%,TRUE,5%)</f>
        <v>0.15</v>
      </c>
      <c r="BB1048" s="3" t="s">
        <v>2481</v>
      </c>
      <c r="BC1048" s="3" t="s">
        <v>2484</v>
      </c>
      <c r="BD1048" s="3"/>
    </row>
    <row r="1049" spans="1:56" ht="12.95" customHeight="1">
      <c r="A1049" s="14"/>
      <c r="B1049" s="79"/>
      <c r="C1049" s="131" t="s">
        <v>1686</v>
      </c>
      <c r="D1049" s="1765" t="s">
        <v>2172</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74821989.620000005</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8">
        <f>AY1003</f>
        <v>161</v>
      </c>
      <c r="J1052" s="1789"/>
      <c r="K1052" s="14"/>
      <c r="L1052" s="133"/>
      <c r="M1052" s="133"/>
      <c r="N1052" s="133"/>
      <c r="O1052" s="133"/>
      <c r="P1052" s="133"/>
      <c r="Q1052" s="133"/>
      <c r="R1052" s="133"/>
      <c r="S1052" s="133"/>
      <c r="T1052" s="133"/>
      <c r="U1052" s="133"/>
      <c r="V1052" s="134" t="s">
        <v>975</v>
      </c>
      <c r="X1052" s="1786">
        <f>CM753</f>
        <v>80</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203851746.63</v>
      </c>
      <c r="AK1053" s="1800"/>
      <c r="AL1053" s="1800"/>
      <c r="AM1053" s="1800"/>
      <c r="AN1053" s="1800"/>
      <c r="AO1053" s="1800"/>
      <c r="AP1053" s="1800"/>
      <c r="AQ1053" s="180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143669653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18925447.949999999</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1.2037738913789797</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17500000</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15000000</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7">
        <v>1</v>
      </c>
      <c r="D1065" s="1857"/>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7">
        <v>2</v>
      </c>
      <c r="D1067" s="1857"/>
      <c r="E1067" s="1859" t="s">
        <v>2240</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7">
        <v>10</v>
      </c>
      <c r="D1100" s="1857"/>
      <c r="E1100" s="1858" t="s">
        <v>2241</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7">
        <v>11</v>
      </c>
      <c r="D1103" s="1857"/>
      <c r="E1103" s="1858" t="s">
        <v>2243</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4" zoomScaleNormal="100" workbookViewId="0">
      <selection activeCell="H81" sqref="H8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 Permanent Loan</v>
      </c>
      <c r="G2" s="139" t="str">
        <f>Application!B628&amp;Application!C628</f>
        <v>2)Tax-Exempt Seller's Note</v>
      </c>
      <c r="H2" s="139" t="str">
        <f>Application!B629&amp;Application!C629</f>
        <v>3)Deferred Developer Fee</v>
      </c>
      <c r="I2" s="139" t="str">
        <f>Application!B630&amp;Application!C630</f>
        <v>4)Transfer of Project Reserves</v>
      </c>
      <c r="J2" s="139" t="str">
        <f>Application!B631&amp;Application!C631</f>
        <v xml:space="preserve">5)NOI During Construction </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7445849</v>
      </c>
      <c r="C4" s="147">
        <v>7445849</v>
      </c>
      <c r="D4" s="147"/>
      <c r="E4" s="147"/>
      <c r="F4" s="147">
        <f>C4</f>
        <v>7445849</v>
      </c>
      <c r="G4" s="147"/>
      <c r="H4" s="147"/>
      <c r="I4" s="147"/>
      <c r="J4" s="147"/>
      <c r="K4" s="147"/>
      <c r="L4" s="147"/>
      <c r="M4" s="147"/>
      <c r="N4" s="147"/>
      <c r="O4" s="147"/>
      <c r="P4" s="147"/>
      <c r="Q4" s="147"/>
      <c r="R4" s="516">
        <f>SUM(E4:Q4)</f>
        <v>7445849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7445849</v>
      </c>
      <c r="C8" s="146">
        <f t="shared" ref="C8:Q8" si="0">SUM(C4:C7)</f>
        <v>7445849</v>
      </c>
      <c r="D8" s="146">
        <f t="shared" si="0"/>
        <v>0</v>
      </c>
      <c r="E8" s="146">
        <f t="shared" si="0"/>
        <v>0</v>
      </c>
      <c r="F8" s="146">
        <f t="shared" si="0"/>
        <v>7445849</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7445849</v>
      </c>
      <c r="S8" s="148"/>
      <c r="T8" s="148"/>
      <c r="U8" s="143"/>
    </row>
    <row r="9" spans="1:21" s="144" customFormat="1">
      <c r="A9" s="145" t="s">
        <v>595</v>
      </c>
      <c r="B9" s="146">
        <f>SUM(C9+D9)</f>
        <v>67554151</v>
      </c>
      <c r="C9" s="147">
        <f>75000000-C4</f>
        <v>67554151</v>
      </c>
      <c r="D9" s="147"/>
      <c r="E9" s="147"/>
      <c r="F9" s="147">
        <f>C9-G9</f>
        <v>7084151</v>
      </c>
      <c r="G9" s="147">
        <v>60470000</v>
      </c>
      <c r="H9" s="147"/>
      <c r="I9" s="147"/>
      <c r="J9" s="147"/>
      <c r="K9" s="147"/>
      <c r="L9" s="147"/>
      <c r="M9" s="147"/>
      <c r="N9" s="147"/>
      <c r="O9" s="147"/>
      <c r="P9" s="147"/>
      <c r="Q9" s="147"/>
      <c r="R9" s="516">
        <f>SUM(E9:Q9)</f>
        <v>67554151</v>
      </c>
      <c r="S9" s="148"/>
      <c r="T9" s="147">
        <f>C9</f>
        <v>67554151</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67554151</v>
      </c>
      <c r="C11" s="146">
        <f t="shared" ref="C11:Q11" si="1">SUM(C9:C10)</f>
        <v>67554151</v>
      </c>
      <c r="D11" s="146">
        <f t="shared" si="1"/>
        <v>0</v>
      </c>
      <c r="E11" s="146">
        <f t="shared" si="1"/>
        <v>0</v>
      </c>
      <c r="F11" s="146">
        <f t="shared" si="1"/>
        <v>7084151</v>
      </c>
      <c r="G11" s="146">
        <f t="shared" si="1"/>
        <v>60470000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67554151</v>
      </c>
      <c r="S11" s="148"/>
      <c r="T11" s="150">
        <f>SUM(T9:T10)</f>
        <v>67554151</v>
      </c>
      <c r="U11" s="143"/>
    </row>
    <row r="12" spans="1:21" s="144" customFormat="1">
      <c r="A12" s="149" t="s">
        <v>84</v>
      </c>
      <c r="B12" s="146">
        <f t="shared" ref="B12:Q12" si="2">SUM(B8+B11)</f>
        <v>75000000</v>
      </c>
      <c r="C12" s="146">
        <f t="shared" si="2"/>
        <v>75000000</v>
      </c>
      <c r="D12" s="146">
        <f t="shared" si="2"/>
        <v>0</v>
      </c>
      <c r="E12" s="146">
        <f t="shared" si="2"/>
        <v>0</v>
      </c>
      <c r="F12" s="146">
        <f t="shared" si="2"/>
        <v>14530000</v>
      </c>
      <c r="G12" s="146">
        <f t="shared" si="2"/>
        <v>60470000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75000000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3204790</v>
      </c>
      <c r="C17" s="147">
        <v>3204790</v>
      </c>
      <c r="D17" s="147"/>
      <c r="E17" s="147">
        <f>C17</f>
        <v>3204790</v>
      </c>
      <c r="F17" s="147"/>
      <c r="G17" s="147"/>
      <c r="H17" s="147"/>
      <c r="I17" s="147"/>
      <c r="J17" s="147"/>
      <c r="K17" s="147"/>
      <c r="L17" s="147"/>
      <c r="M17" s="147"/>
      <c r="N17" s="147"/>
      <c r="O17" s="147"/>
      <c r="P17" s="147"/>
      <c r="Q17" s="147"/>
      <c r="R17" s="516">
        <f>SUM(E17:Q17)</f>
        <v>3204790</v>
      </c>
      <c r="S17" s="147">
        <f>C17</f>
        <v>3204790</v>
      </c>
      <c r="T17" s="147"/>
      <c r="U17" s="143"/>
    </row>
    <row r="18" spans="1:21" s="144" customFormat="1">
      <c r="A18" s="145" t="s">
        <v>600</v>
      </c>
      <c r="B18" s="146">
        <f t="shared" si="3"/>
        <v>27763834</v>
      </c>
      <c r="C18" s="147">
        <f>2062122+2306812+22172513+1222387</f>
        <v>27763834</v>
      </c>
      <c r="D18" s="147"/>
      <c r="E18" s="147">
        <v>18262584</v>
      </c>
      <c r="F18" s="147">
        <v>7901250</v>
      </c>
      <c r="G18" s="147"/>
      <c r="H18" s="147"/>
      <c r="I18" s="147">
        <v>1600000</v>
      </c>
      <c r="J18" s="147"/>
      <c r="K18" s="147"/>
      <c r="L18" s="147"/>
      <c r="M18" s="147"/>
      <c r="N18" s="147"/>
      <c r="O18" s="147"/>
      <c r="P18" s="147"/>
      <c r="Q18" s="147"/>
      <c r="R18" s="516">
        <f>SUM(E18:Q18)</f>
        <v>27763834</v>
      </c>
      <c r="S18" s="147">
        <f t="shared" ref="S18:S25" si="4">C18</f>
        <v>27763834</v>
      </c>
      <c r="T18" s="147"/>
      <c r="U18" s="143"/>
    </row>
    <row r="19" spans="1:21" s="144" customFormat="1">
      <c r="A19" s="145" t="s">
        <v>601</v>
      </c>
      <c r="B19" s="146">
        <f t="shared" si="3"/>
        <v>2787176.16</v>
      </c>
      <c r="C19" s="147">
        <v>2787176.16</v>
      </c>
      <c r="D19" s="147"/>
      <c r="E19" s="147">
        <f>C19</f>
        <v>2787176.16</v>
      </c>
      <c r="F19" s="147"/>
      <c r="G19" s="147"/>
      <c r="H19" s="147"/>
      <c r="I19" s="147"/>
      <c r="J19" s="147"/>
      <c r="K19" s="147"/>
      <c r="L19" s="147"/>
      <c r="M19" s="147"/>
      <c r="N19" s="147"/>
      <c r="O19" s="147"/>
      <c r="P19" s="147"/>
      <c r="Q19" s="147"/>
      <c r="R19" s="516">
        <f>SUM(E19:Q19)</f>
        <v>2787176.16</v>
      </c>
      <c r="S19" s="147">
        <f t="shared" si="4"/>
        <v>2787176.16</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1753710.93</v>
      </c>
      <c r="C21" s="147">
        <v>1753710.93</v>
      </c>
      <c r="D21" s="147"/>
      <c r="E21" s="147">
        <f>C21</f>
        <v>1753710.93</v>
      </c>
      <c r="F21" s="147"/>
      <c r="G21" s="147"/>
      <c r="H21" s="147"/>
      <c r="I21" s="147"/>
      <c r="J21" s="147"/>
      <c r="K21" s="147"/>
      <c r="L21" s="147"/>
      <c r="M21" s="147"/>
      <c r="N21" s="147"/>
      <c r="O21" s="147"/>
      <c r="P21" s="147"/>
      <c r="Q21" s="147"/>
      <c r="R21" s="516">
        <f t="shared" si="5"/>
        <v>1753710.93</v>
      </c>
      <c r="S21" s="147">
        <f t="shared" si="4"/>
        <v>1753710.93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984236</v>
      </c>
      <c r="C23" s="147">
        <v>984236</v>
      </c>
      <c r="D23" s="147"/>
      <c r="E23" s="147">
        <f>C23</f>
        <v>984236</v>
      </c>
      <c r="F23" s="147"/>
      <c r="G23" s="147"/>
      <c r="H23" s="147"/>
      <c r="I23" s="147"/>
      <c r="J23" s="147"/>
      <c r="K23" s="147"/>
      <c r="L23" s="147"/>
      <c r="M23" s="147"/>
      <c r="N23" s="147"/>
      <c r="O23" s="147"/>
      <c r="P23" s="147"/>
      <c r="Q23" s="147"/>
      <c r="R23" s="516">
        <f t="shared" si="5"/>
        <v>984236</v>
      </c>
      <c r="S23" s="147">
        <f t="shared" si="4"/>
        <v>984236</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9" t="s">
        <v>2768</v>
      </c>
      <c r="B25" s="146">
        <f t="shared" si="3"/>
        <v>334182.42000000004</v>
      </c>
      <c r="C25" s="147">
        <f>293675.46+40506.96</f>
        <v>334182.42000000004</v>
      </c>
      <c r="D25" s="147"/>
      <c r="E25" s="147">
        <f>C25</f>
        <v>334182.42000000004</v>
      </c>
      <c r="F25" s="147"/>
      <c r="G25" s="147"/>
      <c r="H25" s="147"/>
      <c r="I25" s="147"/>
      <c r="J25" s="147"/>
      <c r="K25" s="147"/>
      <c r="L25" s="147"/>
      <c r="M25" s="147"/>
      <c r="N25" s="147"/>
      <c r="O25" s="147"/>
      <c r="P25" s="147"/>
      <c r="Q25" s="147"/>
      <c r="R25" s="516">
        <f t="shared" si="5"/>
        <v>334182.42000000004</v>
      </c>
      <c r="S25" s="147">
        <f t="shared" si="4"/>
        <v>334182.42000000004</v>
      </c>
      <c r="T25" s="147"/>
      <c r="U25" s="143"/>
    </row>
    <row r="26" spans="1:21" s="144" customFormat="1">
      <c r="A26" s="149" t="s">
        <v>133</v>
      </c>
      <c r="B26" s="146">
        <f t="shared" si="3"/>
        <v>36827929.509999998</v>
      </c>
      <c r="C26" s="146">
        <f>SUM(C17:C25)</f>
        <v>36827929.509999998</v>
      </c>
      <c r="D26" s="146">
        <f t="shared" ref="D26:Q26" si="6">SUM(D17:D25)</f>
        <v>0</v>
      </c>
      <c r="E26" s="146">
        <f t="shared" si="6"/>
        <v>27326679.510000002</v>
      </c>
      <c r="F26" s="146">
        <f t="shared" si="6"/>
        <v>7901250</v>
      </c>
      <c r="G26" s="146">
        <f t="shared" si="6"/>
        <v>0</v>
      </c>
      <c r="H26" s="146">
        <f t="shared" si="6"/>
        <v>0</v>
      </c>
      <c r="I26" s="146">
        <f t="shared" si="6"/>
        <v>1600000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36827929.509999998</v>
      </c>
      <c r="S26" s="150">
        <f>SUM(S17:S25)</f>
        <v>36827929.509999998</v>
      </c>
      <c r="T26" s="150">
        <f>SUM(T17:T25)</f>
        <v>0</v>
      </c>
      <c r="U26" s="143"/>
    </row>
    <row r="27" spans="1:21" s="144" customFormat="1">
      <c r="A27" s="149" t="s">
        <v>141</v>
      </c>
      <c r="B27" s="146">
        <f>SUM(C27:D27)</f>
        <v>5880000</v>
      </c>
      <c r="C27" s="147">
        <v>5880000</v>
      </c>
      <c r="D27" s="147"/>
      <c r="E27" s="147">
        <f>C27</f>
        <v>5880000</v>
      </c>
      <c r="F27" s="147"/>
      <c r="G27" s="147"/>
      <c r="H27" s="147"/>
      <c r="I27" s="147"/>
      <c r="J27" s="147"/>
      <c r="K27" s="147"/>
      <c r="L27" s="147"/>
      <c r="M27" s="147"/>
      <c r="N27" s="147"/>
      <c r="O27" s="147"/>
      <c r="P27" s="147"/>
      <c r="Q27" s="147"/>
      <c r="R27" s="516">
        <f t="shared" si="5"/>
        <v>5880000</v>
      </c>
      <c r="S27" s="147">
        <f>C27</f>
        <v>5880000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1641</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905000</v>
      </c>
      <c r="C40" s="147">
        <f>800000+50000+25000+30000</f>
        <v>905000</v>
      </c>
      <c r="D40" s="147"/>
      <c r="E40" s="147">
        <f>C40</f>
        <v>905000</v>
      </c>
      <c r="F40" s="147"/>
      <c r="G40" s="147"/>
      <c r="H40" s="147"/>
      <c r="I40" s="147"/>
      <c r="J40" s="147"/>
      <c r="K40" s="147"/>
      <c r="L40" s="147"/>
      <c r="M40" s="147"/>
      <c r="N40" s="147"/>
      <c r="O40" s="147"/>
      <c r="P40" s="147"/>
      <c r="Q40" s="147"/>
      <c r="R40" s="516">
        <f>SUM(E40:Q40)</f>
        <v>905000</v>
      </c>
      <c r="S40" s="147">
        <f>C40</f>
        <v>905000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905000</v>
      </c>
      <c r="C42" s="146">
        <f>SUM(C39:C41)</f>
        <v>905000</v>
      </c>
      <c r="D42" s="146">
        <f>SUM(D39:D41)</f>
        <v>0</v>
      </c>
      <c r="E42" s="146">
        <f t="shared" ref="E42:T42" si="10">SUM(E40:E41)</f>
        <v>905000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905000</v>
      </c>
      <c r="S42" s="150">
        <f t="shared" si="10"/>
        <v>905000</v>
      </c>
      <c r="T42" s="150">
        <f t="shared" si="10"/>
        <v>0</v>
      </c>
      <c r="U42" s="143"/>
    </row>
    <row r="43" spans="1:21" s="144" customFormat="1">
      <c r="A43" s="149" t="s">
        <v>148</v>
      </c>
      <c r="B43" s="146">
        <f>SUM(C43:D43)</f>
        <v>958000</v>
      </c>
      <c r="C43" s="147">
        <f>200000+300000+25000+408000+25000</f>
        <v>958000</v>
      </c>
      <c r="D43" s="147"/>
      <c r="E43" s="147">
        <f>C43</f>
        <v>958000</v>
      </c>
      <c r="F43" s="147"/>
      <c r="G43" s="147"/>
      <c r="H43" s="147"/>
      <c r="I43" s="147"/>
      <c r="J43" s="147"/>
      <c r="K43" s="147"/>
      <c r="L43" s="147"/>
      <c r="M43" s="147"/>
      <c r="N43" s="147"/>
      <c r="O43" s="147"/>
      <c r="P43" s="147"/>
      <c r="Q43" s="147"/>
      <c r="R43" s="516">
        <f>SUM(E43:Q43)</f>
        <v>958000</v>
      </c>
      <c r="S43" s="147">
        <f>C43</f>
        <v>958000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4075000</v>
      </c>
      <c r="C45" s="147">
        <v>4075000</v>
      </c>
      <c r="D45" s="147"/>
      <c r="E45" s="147"/>
      <c r="F45" s="147">
        <f>C45-J45</f>
        <v>275000</v>
      </c>
      <c r="G45" s="147"/>
      <c r="H45" s="147"/>
      <c r="I45" s="147"/>
      <c r="J45" s="147">
        <v>3800000</v>
      </c>
      <c r="K45" s="147"/>
      <c r="L45" s="147"/>
      <c r="M45" s="147"/>
      <c r="N45" s="147"/>
      <c r="O45" s="147"/>
      <c r="P45" s="147"/>
      <c r="Q45" s="147"/>
      <c r="R45" s="516">
        <f t="shared" ref="R45:R53" si="12">SUM(E45:Q45)</f>
        <v>4075000</v>
      </c>
      <c r="S45" s="147">
        <v>2639252</v>
      </c>
      <c r="T45" s="147"/>
      <c r="U45" s="143"/>
    </row>
    <row r="46" spans="1:21" s="144" customFormat="1">
      <c r="A46" s="145" t="s">
        <v>151</v>
      </c>
      <c r="B46" s="146">
        <f t="shared" si="11"/>
        <v>865000</v>
      </c>
      <c r="C46" s="147">
        <f>825000+40000</f>
        <v>865000</v>
      </c>
      <c r="D46" s="147"/>
      <c r="E46" s="147"/>
      <c r="F46" s="147">
        <f>C46</f>
        <v>865000</v>
      </c>
      <c r="G46" s="147"/>
      <c r="H46" s="147"/>
      <c r="I46" s="147"/>
      <c r="J46" s="147"/>
      <c r="K46" s="147"/>
      <c r="L46" s="147"/>
      <c r="M46" s="147"/>
      <c r="N46" s="147"/>
      <c r="O46" s="147"/>
      <c r="P46" s="147"/>
      <c r="Q46" s="147"/>
      <c r="R46" s="516">
        <f t="shared" si="12"/>
        <v>865000</v>
      </c>
      <c r="S46" s="147">
        <f>675000+30000</f>
        <v>705000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468000</v>
      </c>
      <c r="C49" s="147">
        <f>3000+80000+150000+30000+40000+40000+75000+50000</f>
        <v>468000</v>
      </c>
      <c r="D49" s="147"/>
      <c r="E49" s="147"/>
      <c r="F49" s="147">
        <f>C49</f>
        <v>468000</v>
      </c>
      <c r="G49" s="147"/>
      <c r="H49" s="147"/>
      <c r="I49" s="147"/>
      <c r="J49" s="147"/>
      <c r="K49" s="147"/>
      <c r="L49" s="147"/>
      <c r="M49" s="147"/>
      <c r="N49" s="147"/>
      <c r="O49" s="147"/>
      <c r="P49" s="147"/>
      <c r="Q49" s="147"/>
      <c r="R49" s="516">
        <f t="shared" si="12"/>
        <v>468000</v>
      </c>
      <c r="S49" s="147"/>
      <c r="T49" s="147"/>
      <c r="U49" s="143"/>
    </row>
    <row r="50" spans="1:21" s="144" customFormat="1">
      <c r="A50" s="145" t="s">
        <v>156</v>
      </c>
      <c r="B50" s="146">
        <f t="shared" si="11"/>
        <v>650000</v>
      </c>
      <c r="C50" s="147">
        <v>650000</v>
      </c>
      <c r="D50" s="147"/>
      <c r="E50" s="147"/>
      <c r="F50" s="147">
        <f>C50</f>
        <v>650000</v>
      </c>
      <c r="G50" s="147"/>
      <c r="H50" s="147"/>
      <c r="I50" s="147"/>
      <c r="J50" s="147"/>
      <c r="K50" s="147"/>
      <c r="L50" s="147"/>
      <c r="M50" s="147"/>
      <c r="N50" s="147"/>
      <c r="O50" s="147"/>
      <c r="P50" s="147"/>
      <c r="Q50" s="147"/>
      <c r="R50" s="516">
        <f t="shared" si="12"/>
        <v>650000</v>
      </c>
      <c r="S50" s="147">
        <v>550000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1505000</v>
      </c>
      <c r="C52" s="147">
        <v>1505000</v>
      </c>
      <c r="D52" s="147"/>
      <c r="E52" s="147">
        <f>C52</f>
        <v>1505000</v>
      </c>
      <c r="F52" s="147"/>
      <c r="G52" s="147"/>
      <c r="H52" s="147"/>
      <c r="I52" s="147"/>
      <c r="J52" s="147"/>
      <c r="K52" s="147"/>
      <c r="L52" s="147"/>
      <c r="M52" s="147"/>
      <c r="N52" s="147"/>
      <c r="O52" s="147"/>
      <c r="P52" s="147"/>
      <c r="Q52" s="147"/>
      <c r="R52" s="516">
        <f t="shared" si="12"/>
        <v>1505000</v>
      </c>
      <c r="S52" s="147">
        <f>C52</f>
        <v>1505000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7563000</v>
      </c>
      <c r="C54" s="150">
        <f t="shared" ref="C54:T54" si="13">SUM(C45:C53)</f>
        <v>7563000</v>
      </c>
      <c r="D54" s="150">
        <f t="shared" si="13"/>
        <v>0</v>
      </c>
      <c r="E54" s="150">
        <f t="shared" si="13"/>
        <v>1505000</v>
      </c>
      <c r="F54" s="150">
        <f t="shared" si="13"/>
        <v>2258000</v>
      </c>
      <c r="G54" s="150">
        <f t="shared" si="13"/>
        <v>0</v>
      </c>
      <c r="H54" s="150">
        <f t="shared" si="13"/>
        <v>0</v>
      </c>
      <c r="I54" s="150">
        <f t="shared" si="13"/>
        <v>0</v>
      </c>
      <c r="J54" s="150">
        <f t="shared" si="13"/>
        <v>3800000</v>
      </c>
      <c r="K54" s="150">
        <f t="shared" si="13"/>
        <v>0</v>
      </c>
      <c r="L54" s="150">
        <f t="shared" si="13"/>
        <v>0</v>
      </c>
      <c r="M54" s="150">
        <f t="shared" si="13"/>
        <v>0</v>
      </c>
      <c r="N54" s="150">
        <f t="shared" si="13"/>
        <v>0</v>
      </c>
      <c r="O54" s="150">
        <f t="shared" si="13"/>
        <v>0</v>
      </c>
      <c r="P54" s="150">
        <f t="shared" si="13"/>
        <v>0</v>
      </c>
      <c r="Q54" s="150">
        <f t="shared" si="13"/>
        <v>0</v>
      </c>
      <c r="R54" s="342">
        <f t="shared" si="13"/>
        <v>7563000</v>
      </c>
      <c r="S54" s="150">
        <f t="shared" si="13"/>
        <v>5399252</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272750</v>
      </c>
      <c r="C56" s="147">
        <v>272750</v>
      </c>
      <c r="D56" s="147"/>
      <c r="E56" s="147"/>
      <c r="F56" s="147">
        <f>C56</f>
        <v>272750</v>
      </c>
      <c r="G56" s="147"/>
      <c r="H56" s="147"/>
      <c r="I56" s="147"/>
      <c r="J56" s="147"/>
      <c r="K56" s="147"/>
      <c r="L56" s="147"/>
      <c r="M56" s="147"/>
      <c r="N56" s="147"/>
      <c r="O56" s="147"/>
      <c r="P56" s="147"/>
      <c r="Q56" s="147"/>
      <c r="R56" s="516">
        <f t="shared" ref="R56:R61" si="15">SUM(E56:Q56)</f>
        <v>272750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272750</v>
      </c>
      <c r="C62" s="146">
        <f t="shared" ref="C62:R62" si="16">SUM(C56:C61)</f>
        <v>272750</v>
      </c>
      <c r="D62" s="146">
        <f t="shared" si="16"/>
        <v>0</v>
      </c>
      <c r="E62" s="146">
        <f t="shared" si="16"/>
        <v>0</v>
      </c>
      <c r="F62" s="146">
        <f t="shared" si="16"/>
        <v>272750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272750</v>
      </c>
      <c r="S62" s="148"/>
      <c r="T62" s="148"/>
      <c r="U62" s="143"/>
    </row>
    <row r="63" spans="1:21" s="144" customFormat="1">
      <c r="A63" s="154" t="s">
        <v>302</v>
      </c>
      <c r="B63" s="146">
        <f t="shared" ref="B63:R63" si="17">SUM(B8+B11+B13+B14+B15+B26+B27+B38+B42+B43+B54+B62)</f>
        <v>127406679.50999999</v>
      </c>
      <c r="C63" s="146">
        <f t="shared" si="17"/>
        <v>127406679.50999999</v>
      </c>
      <c r="D63" s="146">
        <f t="shared" si="17"/>
        <v>0</v>
      </c>
      <c r="E63" s="146">
        <f t="shared" si="17"/>
        <v>36574679.510000005</v>
      </c>
      <c r="F63" s="146">
        <f t="shared" si="17"/>
        <v>24962000</v>
      </c>
      <c r="G63" s="146">
        <f t="shared" si="17"/>
        <v>60470000</v>
      </c>
      <c r="H63" s="146">
        <f t="shared" si="17"/>
        <v>0</v>
      </c>
      <c r="I63" s="146">
        <f t="shared" si="17"/>
        <v>1600000</v>
      </c>
      <c r="J63" s="146">
        <f t="shared" si="17"/>
        <v>3800000</v>
      </c>
      <c r="K63" s="146">
        <f t="shared" si="17"/>
        <v>0</v>
      </c>
      <c r="L63" s="146">
        <f t="shared" si="17"/>
        <v>0</v>
      </c>
      <c r="M63" s="146">
        <f t="shared" si="17"/>
        <v>0</v>
      </c>
      <c r="N63" s="146">
        <f t="shared" si="17"/>
        <v>0</v>
      </c>
      <c r="O63" s="146">
        <f t="shared" si="17"/>
        <v>0</v>
      </c>
      <c r="P63" s="146">
        <f t="shared" si="17"/>
        <v>0</v>
      </c>
      <c r="Q63" s="146">
        <f t="shared" si="17"/>
        <v>0</v>
      </c>
      <c r="R63" s="342">
        <f t="shared" si="17"/>
        <v>127406679.50999999</v>
      </c>
      <c r="S63" s="146">
        <f>SUM(S10+S13+S14+S15+S26+S27+S38+S42+S43+S54)</f>
        <v>49970181.509999998</v>
      </c>
      <c r="T63" s="146">
        <f>SUM(T11+T13+T14+T15+T26+T27+T38+T42+T43+T54)</f>
        <v>67554151</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408000</v>
      </c>
      <c r="C65" s="147">
        <f>75000+260000+60000+2500+10500</f>
        <v>408000</v>
      </c>
      <c r="D65" s="147"/>
      <c r="E65" s="147"/>
      <c r="F65" s="147">
        <f>C65</f>
        <v>408000</v>
      </c>
      <c r="G65" s="147"/>
      <c r="H65" s="147"/>
      <c r="I65" s="147"/>
      <c r="J65" s="147"/>
      <c r="K65" s="147"/>
      <c r="L65" s="147"/>
      <c r="M65" s="147"/>
      <c r="N65" s="147"/>
      <c r="O65" s="147"/>
      <c r="P65" s="147"/>
      <c r="Q65" s="147"/>
      <c r="R65" s="516">
        <f>SUM(E65:Q65)</f>
        <v>408000</v>
      </c>
      <c r="S65" s="147">
        <f>120000+65000</f>
        <v>185000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408000</v>
      </c>
      <c r="C70" s="146">
        <f>SUM(C65:C69)</f>
        <v>408000</v>
      </c>
      <c r="D70" s="146">
        <f>SUM(D65:D69)</f>
        <v>0</v>
      </c>
      <c r="E70" s="146">
        <f t="shared" ref="E70:T70" si="18">SUM(E65:E69)</f>
        <v>0</v>
      </c>
      <c r="F70" s="146">
        <f t="shared" si="18"/>
        <v>408000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408000</v>
      </c>
      <c r="S70" s="150">
        <f t="shared" si="18"/>
        <v>185000</v>
      </c>
      <c r="T70" s="150">
        <f t="shared" si="1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3420000</v>
      </c>
      <c r="C75" s="147">
        <v>3420000</v>
      </c>
      <c r="D75" s="147"/>
      <c r="E75" s="147">
        <f>C75</f>
        <v>3420000</v>
      </c>
      <c r="F75" s="147"/>
      <c r="G75" s="147"/>
      <c r="H75" s="147"/>
      <c r="I75" s="147"/>
      <c r="J75" s="147"/>
      <c r="K75" s="147"/>
      <c r="L75" s="147"/>
      <c r="M75" s="147"/>
      <c r="N75" s="147"/>
      <c r="O75" s="147"/>
      <c r="P75" s="147"/>
      <c r="Q75" s="147"/>
      <c r="R75" s="516">
        <f>SUM(E75:Q75)</f>
        <v>3420000</v>
      </c>
      <c r="S75" s="148"/>
      <c r="T75" s="148"/>
      <c r="U75" s="143"/>
    </row>
    <row r="76" spans="1:21" s="144" customFormat="1">
      <c r="A76" s="1149" t="s">
        <v>2769</v>
      </c>
      <c r="B76" s="146">
        <f>SUM(C76+D76)</f>
        <v>2250000</v>
      </c>
      <c r="C76" s="147">
        <v>2250000</v>
      </c>
      <c r="D76" s="147"/>
      <c r="E76" s="147">
        <f>C76</f>
        <v>2250000</v>
      </c>
      <c r="F76" s="147"/>
      <c r="G76" s="147"/>
      <c r="H76" s="147"/>
      <c r="I76" s="147"/>
      <c r="J76" s="147"/>
      <c r="K76" s="147"/>
      <c r="L76" s="147"/>
      <c r="M76" s="147"/>
      <c r="N76" s="147"/>
      <c r="O76" s="147"/>
      <c r="P76" s="147"/>
      <c r="Q76" s="147"/>
      <c r="R76" s="516">
        <f>SUM(E76:Q76)</f>
        <v>2250000</v>
      </c>
      <c r="S76" s="148"/>
      <c r="T76" s="148"/>
      <c r="U76" s="143"/>
    </row>
    <row r="77" spans="1:21" s="144" customFormat="1">
      <c r="A77" s="149" t="s">
        <v>607</v>
      </c>
      <c r="B77" s="146">
        <f>SUM(C77:D77)</f>
        <v>5670000</v>
      </c>
      <c r="C77" s="146">
        <f>SUM(C72:C76)</f>
        <v>5670000</v>
      </c>
      <c r="D77" s="146">
        <f>SUM(D72:D76)</f>
        <v>0</v>
      </c>
      <c r="E77" s="146">
        <f t="shared" ref="E77:Q77" si="19">SUM(E72:E76)</f>
        <v>5670000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5670000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7365570.4900000002</v>
      </c>
      <c r="C79" s="147">
        <v>7365570.4900000002</v>
      </c>
      <c r="D79" s="147"/>
      <c r="E79" s="147">
        <f>C79</f>
        <v>7365570.4900000002</v>
      </c>
      <c r="F79" s="147"/>
      <c r="G79" s="147"/>
      <c r="H79" s="147"/>
      <c r="I79" s="147"/>
      <c r="J79" s="147"/>
      <c r="K79" s="147"/>
      <c r="L79" s="147"/>
      <c r="M79" s="147"/>
      <c r="N79" s="147"/>
      <c r="O79" s="147"/>
      <c r="P79" s="147"/>
      <c r="Q79" s="147"/>
      <c r="R79" s="516">
        <f>SUM(E79:Q79)</f>
        <v>7365570.4900000002</v>
      </c>
      <c r="S79" s="147">
        <f>C79</f>
        <v>7365570.4900000002</v>
      </c>
      <c r="T79" s="147"/>
      <c r="U79" s="143"/>
    </row>
    <row r="80" spans="1:21" s="144" customFormat="1">
      <c r="A80" s="283" t="s">
        <v>58</v>
      </c>
      <c r="B80" s="146">
        <f>SUM(C80:D80)</f>
        <v>840000</v>
      </c>
      <c r="C80" s="147">
        <v>840000</v>
      </c>
      <c r="D80" s="147"/>
      <c r="E80" s="147">
        <f>C80</f>
        <v>840000</v>
      </c>
      <c r="F80" s="147"/>
      <c r="G80" s="147"/>
      <c r="H80" s="147"/>
      <c r="I80" s="147"/>
      <c r="J80" s="147"/>
      <c r="K80" s="147"/>
      <c r="L80" s="147"/>
      <c r="M80" s="147"/>
      <c r="N80" s="147"/>
      <c r="O80" s="147"/>
      <c r="P80" s="147"/>
      <c r="Q80" s="147"/>
      <c r="R80" s="516">
        <f>SUM(E80:Q80)</f>
        <v>840000</v>
      </c>
      <c r="S80" s="147">
        <v>200000</v>
      </c>
      <c r="T80" s="147"/>
      <c r="U80" s="143"/>
    </row>
    <row r="81" spans="1:21" s="144" customFormat="1">
      <c r="A81" s="149" t="s">
        <v>1210</v>
      </c>
      <c r="B81" s="146">
        <f>SUM(C81:D81)</f>
        <v>8205570.4900000002</v>
      </c>
      <c r="C81" s="509">
        <f>SUM(C79:C80)</f>
        <v>8205570.4900000002</v>
      </c>
      <c r="D81" s="509">
        <f t="shared" ref="D81:T81" si="20">SUM(D79:D80)</f>
        <v>0</v>
      </c>
      <c r="E81" s="509">
        <f t="shared" si="20"/>
        <v>8205570.4900000002</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8205570.4900000002</v>
      </c>
      <c r="S81" s="509">
        <f t="shared" si="20"/>
        <v>7565570.4900000002</v>
      </c>
      <c r="T81" s="509">
        <f t="shared" si="2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1">SUM(C83+D83)</f>
        <v>200000</v>
      </c>
      <c r="C83" s="147">
        <v>200000</v>
      </c>
      <c r="D83" s="147"/>
      <c r="E83" s="147">
        <f>C83</f>
        <v>200000</v>
      </c>
      <c r="F83" s="147"/>
      <c r="G83" s="147"/>
      <c r="H83" s="147"/>
      <c r="I83" s="147"/>
      <c r="J83" s="147"/>
      <c r="K83" s="147"/>
      <c r="L83" s="147"/>
      <c r="M83" s="147"/>
      <c r="N83" s="147"/>
      <c r="O83" s="147"/>
      <c r="P83" s="147"/>
      <c r="Q83" s="147"/>
      <c r="R83" s="516">
        <f t="shared" ref="R83:R95" si="22">SUM(E83:Q83)</f>
        <v>200000</v>
      </c>
      <c r="S83" s="148"/>
      <c r="T83" s="148"/>
      <c r="U83" s="143"/>
    </row>
    <row r="84" spans="1:21" s="144" customFormat="1">
      <c r="A84" s="145" t="s">
        <v>768</v>
      </c>
      <c r="B84" s="146">
        <f t="shared" si="21"/>
        <v>25000</v>
      </c>
      <c r="C84" s="147">
        <v>25000</v>
      </c>
      <c r="D84" s="147"/>
      <c r="E84" s="147">
        <f>C84</f>
        <v>25000</v>
      </c>
      <c r="F84" s="147"/>
      <c r="G84" s="147"/>
      <c r="H84" s="147"/>
      <c r="I84" s="147"/>
      <c r="J84" s="147"/>
      <c r="K84" s="147"/>
      <c r="L84" s="147"/>
      <c r="M84" s="147"/>
      <c r="N84" s="147"/>
      <c r="O84" s="147"/>
      <c r="P84" s="147"/>
      <c r="Q84" s="147"/>
      <c r="R84" s="516">
        <f t="shared" si="22"/>
        <v>25000</v>
      </c>
      <c r="S84" s="147">
        <f>C84</f>
        <v>25000</v>
      </c>
      <c r="T84" s="147"/>
      <c r="U84" s="143"/>
    </row>
    <row r="85" spans="1:21" s="144" customFormat="1">
      <c r="A85" s="145" t="s">
        <v>769</v>
      </c>
      <c r="B85" s="146">
        <f t="shared" si="21"/>
        <v>0</v>
      </c>
      <c r="C85" s="147"/>
      <c r="D85" s="147"/>
      <c r="E85" s="147"/>
      <c r="F85" s="147"/>
      <c r="G85" s="147"/>
      <c r="H85" s="147"/>
      <c r="I85" s="147"/>
      <c r="J85" s="147"/>
      <c r="K85" s="147"/>
      <c r="L85" s="147"/>
      <c r="M85" s="147"/>
      <c r="N85" s="147"/>
      <c r="O85" s="147"/>
      <c r="P85" s="147"/>
      <c r="Q85" s="147"/>
      <c r="R85" s="516">
        <f t="shared" si="22"/>
        <v>0</v>
      </c>
      <c r="S85" s="147"/>
      <c r="T85" s="147"/>
      <c r="U85" s="143"/>
    </row>
    <row r="86" spans="1:21" s="144" customFormat="1">
      <c r="A86" s="145" t="s">
        <v>770</v>
      </c>
      <c r="B86" s="146">
        <f t="shared" si="21"/>
        <v>450000</v>
      </c>
      <c r="C86" s="147">
        <v>450000</v>
      </c>
      <c r="D86" s="147"/>
      <c r="E86" s="147">
        <f>C86</f>
        <v>450000</v>
      </c>
      <c r="F86" s="147"/>
      <c r="G86" s="147"/>
      <c r="H86" s="147"/>
      <c r="I86" s="147"/>
      <c r="J86" s="147"/>
      <c r="K86" s="147"/>
      <c r="L86" s="147"/>
      <c r="M86" s="147"/>
      <c r="N86" s="147"/>
      <c r="O86" s="147"/>
      <c r="P86" s="147"/>
      <c r="Q86" s="147"/>
      <c r="R86" s="516">
        <f t="shared" si="22"/>
        <v>450000</v>
      </c>
      <c r="S86" s="147">
        <f>C86</f>
        <v>450000</v>
      </c>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772</v>
      </c>
      <c r="B88" s="146">
        <f t="shared" si="21"/>
        <v>0</v>
      </c>
      <c r="C88" s="147"/>
      <c r="D88" s="147"/>
      <c r="E88" s="147"/>
      <c r="F88" s="147"/>
      <c r="G88" s="147"/>
      <c r="H88" s="147"/>
      <c r="I88" s="147"/>
      <c r="J88" s="147"/>
      <c r="K88" s="147"/>
      <c r="L88" s="147"/>
      <c r="M88" s="147"/>
      <c r="N88" s="147"/>
      <c r="O88" s="147"/>
      <c r="P88" s="147"/>
      <c r="Q88" s="147"/>
      <c r="R88" s="516">
        <f t="shared" si="22"/>
        <v>0</v>
      </c>
      <c r="S88" s="148"/>
      <c r="T88" s="148"/>
      <c r="U88" s="143"/>
    </row>
    <row r="89" spans="1:21" s="144" customFormat="1">
      <c r="A89" s="145" t="s">
        <v>773</v>
      </c>
      <c r="B89" s="146">
        <f t="shared" si="21"/>
        <v>125000</v>
      </c>
      <c r="C89" s="147">
        <v>125000</v>
      </c>
      <c r="D89" s="147"/>
      <c r="E89" s="147">
        <f>C89</f>
        <v>125000</v>
      </c>
      <c r="F89" s="147"/>
      <c r="G89" s="147"/>
      <c r="H89" s="147"/>
      <c r="I89" s="147"/>
      <c r="J89" s="147"/>
      <c r="K89" s="147"/>
      <c r="L89" s="147"/>
      <c r="M89" s="147"/>
      <c r="N89" s="147"/>
      <c r="O89" s="147"/>
      <c r="P89" s="147"/>
      <c r="Q89" s="147"/>
      <c r="R89" s="516">
        <f t="shared" si="22"/>
        <v>125000</v>
      </c>
      <c r="S89" s="147">
        <f>C89</f>
        <v>125000</v>
      </c>
      <c r="T89" s="147"/>
      <c r="U89" s="143"/>
    </row>
    <row r="90" spans="1:21" s="144" customFormat="1">
      <c r="A90" s="145" t="s">
        <v>774</v>
      </c>
      <c r="B90" s="146">
        <f t="shared" si="21"/>
        <v>4750</v>
      </c>
      <c r="C90" s="147">
        <v>4750</v>
      </c>
      <c r="D90" s="147"/>
      <c r="E90" s="147">
        <f t="shared" ref="E90:E95" si="23">C90</f>
        <v>4750</v>
      </c>
      <c r="F90" s="147"/>
      <c r="G90" s="147"/>
      <c r="H90" s="147"/>
      <c r="I90" s="147"/>
      <c r="J90" s="147"/>
      <c r="K90" s="147"/>
      <c r="L90" s="147"/>
      <c r="M90" s="147"/>
      <c r="N90" s="147"/>
      <c r="O90" s="147"/>
      <c r="P90" s="147"/>
      <c r="Q90" s="147"/>
      <c r="R90" s="516">
        <f t="shared" si="22"/>
        <v>4750</v>
      </c>
      <c r="S90" s="147">
        <f>C90</f>
        <v>4750</v>
      </c>
      <c r="T90" s="147"/>
      <c r="U90" s="143"/>
    </row>
    <row r="91" spans="1:21" s="144" customFormat="1">
      <c r="A91" s="145" t="s">
        <v>372</v>
      </c>
      <c r="B91" s="146">
        <f t="shared" si="21"/>
        <v>30000</v>
      </c>
      <c r="C91" s="147">
        <v>30000</v>
      </c>
      <c r="D91" s="147"/>
      <c r="E91" s="147">
        <f t="shared" si="23"/>
        <v>30000</v>
      </c>
      <c r="F91" s="147"/>
      <c r="G91" s="147"/>
      <c r="H91" s="147"/>
      <c r="I91" s="147"/>
      <c r="J91" s="147"/>
      <c r="K91" s="147"/>
      <c r="L91" s="147"/>
      <c r="M91" s="147"/>
      <c r="N91" s="147"/>
      <c r="O91" s="147"/>
      <c r="P91" s="147"/>
      <c r="Q91" s="147"/>
      <c r="R91" s="516">
        <f t="shared" si="22"/>
        <v>30000</v>
      </c>
      <c r="S91" s="147">
        <v>15000</v>
      </c>
      <c r="T91" s="147"/>
      <c r="U91" s="143"/>
    </row>
    <row r="92" spans="1:21" s="144" customFormat="1">
      <c r="A92" s="283" t="s">
        <v>1212</v>
      </c>
      <c r="B92" s="146">
        <f t="shared" si="21"/>
        <v>10000</v>
      </c>
      <c r="C92" s="147">
        <v>10000</v>
      </c>
      <c r="D92" s="147"/>
      <c r="E92" s="147">
        <f t="shared" si="23"/>
        <v>10000</v>
      </c>
      <c r="F92" s="147"/>
      <c r="G92" s="147"/>
      <c r="H92" s="147"/>
      <c r="I92" s="147"/>
      <c r="J92" s="147"/>
      <c r="K92" s="147"/>
      <c r="L92" s="147"/>
      <c r="M92" s="147"/>
      <c r="N92" s="147"/>
      <c r="O92" s="147"/>
      <c r="P92" s="147"/>
      <c r="Q92" s="147"/>
      <c r="R92" s="516">
        <f t="shared" si="22"/>
        <v>10000</v>
      </c>
      <c r="S92" s="147">
        <f>C92</f>
        <v>10000</v>
      </c>
      <c r="T92" s="147"/>
      <c r="U92" s="143"/>
    </row>
    <row r="93" spans="1:21" s="144" customFormat="1">
      <c r="A93" s="1149" t="s">
        <v>2770</v>
      </c>
      <c r="B93" s="146">
        <f t="shared" si="21"/>
        <v>50000</v>
      </c>
      <c r="C93" s="147">
        <v>50000</v>
      </c>
      <c r="D93" s="147"/>
      <c r="E93" s="147">
        <f t="shared" si="23"/>
        <v>50000</v>
      </c>
      <c r="F93" s="147"/>
      <c r="G93" s="147"/>
      <c r="H93" s="147"/>
      <c r="I93" s="147"/>
      <c r="J93" s="147"/>
      <c r="K93" s="147"/>
      <c r="L93" s="147"/>
      <c r="M93" s="147"/>
      <c r="N93" s="147"/>
      <c r="O93" s="147"/>
      <c r="P93" s="147"/>
      <c r="Q93" s="147"/>
      <c r="R93" s="516">
        <f t="shared" si="22"/>
        <v>50000</v>
      </c>
      <c r="S93" s="147">
        <f>C93</f>
        <v>50000</v>
      </c>
      <c r="T93" s="147"/>
      <c r="U93" s="143"/>
    </row>
    <row r="94" spans="1:21" s="144" customFormat="1">
      <c r="A94" s="1149" t="s">
        <v>2771</v>
      </c>
      <c r="B94" s="146">
        <f t="shared" si="21"/>
        <v>100000</v>
      </c>
      <c r="C94" s="147">
        <v>100000</v>
      </c>
      <c r="D94" s="147"/>
      <c r="E94" s="147">
        <f t="shared" si="23"/>
        <v>100000</v>
      </c>
      <c r="F94" s="147"/>
      <c r="G94" s="147"/>
      <c r="H94" s="147"/>
      <c r="I94" s="147"/>
      <c r="J94" s="147"/>
      <c r="K94" s="147"/>
      <c r="L94" s="147"/>
      <c r="M94" s="147"/>
      <c r="N94" s="147"/>
      <c r="O94" s="147"/>
      <c r="P94" s="147"/>
      <c r="Q94" s="147"/>
      <c r="R94" s="516">
        <f t="shared" si="22"/>
        <v>100000</v>
      </c>
      <c r="S94" s="147">
        <f>C94</f>
        <v>100000</v>
      </c>
      <c r="T94" s="147"/>
      <c r="U94" s="143"/>
    </row>
    <row r="95" spans="1:21" s="144" customFormat="1">
      <c r="A95" s="1149" t="s">
        <v>2772</v>
      </c>
      <c r="B95" s="146">
        <f t="shared" si="21"/>
        <v>115000</v>
      </c>
      <c r="C95" s="147">
        <f>100000+15000</f>
        <v>115000</v>
      </c>
      <c r="D95" s="147"/>
      <c r="E95" s="147">
        <f t="shared" si="23"/>
        <v>115000</v>
      </c>
      <c r="F95" s="147"/>
      <c r="G95" s="147"/>
      <c r="H95" s="147"/>
      <c r="I95" s="147"/>
      <c r="J95" s="147"/>
      <c r="K95" s="147"/>
      <c r="L95" s="147"/>
      <c r="M95" s="147"/>
      <c r="N95" s="147"/>
      <c r="O95" s="147"/>
      <c r="P95" s="147"/>
      <c r="Q95" s="147"/>
      <c r="R95" s="516">
        <f t="shared" si="22"/>
        <v>115000</v>
      </c>
      <c r="S95" s="147">
        <f>C95</f>
        <v>115000</v>
      </c>
      <c r="T95" s="147"/>
      <c r="U95" s="143"/>
    </row>
    <row r="96" spans="1:21" s="144" customFormat="1">
      <c r="A96" s="149" t="s">
        <v>775</v>
      </c>
      <c r="B96" s="146">
        <f>SUM(C96:D96)</f>
        <v>1109750</v>
      </c>
      <c r="C96" s="146">
        <f t="shared" ref="C96:R96" si="24">SUM(C83:C95)</f>
        <v>1109750</v>
      </c>
      <c r="D96" s="146">
        <f t="shared" si="24"/>
        <v>0</v>
      </c>
      <c r="E96" s="146">
        <f t="shared" si="24"/>
        <v>1109750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1109750</v>
      </c>
      <c r="S96" s="150">
        <f>SUM(S84:S87,S89:S95)</f>
        <v>894750</v>
      </c>
      <c r="T96" s="146">
        <f>SUM(T84:T87,T89:T95)</f>
        <v>0</v>
      </c>
      <c r="U96" s="143"/>
    </row>
    <row r="97" spans="1:21" s="144" customFormat="1">
      <c r="A97" s="149" t="s">
        <v>776</v>
      </c>
      <c r="B97" s="146">
        <f>SUM(C97:D97)</f>
        <v>142800000</v>
      </c>
      <c r="C97" s="146">
        <f t="shared" ref="C97:R97" si="25">SUM(C63+C70+C77+C81+C96)</f>
        <v>142800000</v>
      </c>
      <c r="D97" s="146">
        <f t="shared" si="25"/>
        <v>0</v>
      </c>
      <c r="E97" s="146">
        <f t="shared" si="25"/>
        <v>51560000.000000007</v>
      </c>
      <c r="F97" s="146">
        <f t="shared" si="25"/>
        <v>25370000</v>
      </c>
      <c r="G97" s="146">
        <f t="shared" si="25"/>
        <v>60470000</v>
      </c>
      <c r="H97" s="146">
        <f t="shared" si="25"/>
        <v>0</v>
      </c>
      <c r="I97" s="146">
        <f t="shared" si="25"/>
        <v>1600000</v>
      </c>
      <c r="J97" s="146">
        <f t="shared" si="25"/>
        <v>3800000</v>
      </c>
      <c r="K97" s="146">
        <f t="shared" si="25"/>
        <v>0</v>
      </c>
      <c r="L97" s="146">
        <f t="shared" si="25"/>
        <v>0</v>
      </c>
      <c r="M97" s="146">
        <f t="shared" si="25"/>
        <v>0</v>
      </c>
      <c r="N97" s="146">
        <f t="shared" si="25"/>
        <v>0</v>
      </c>
      <c r="O97" s="146">
        <f t="shared" si="25"/>
        <v>0</v>
      </c>
      <c r="P97" s="146">
        <f t="shared" si="25"/>
        <v>0</v>
      </c>
      <c r="Q97" s="146">
        <f t="shared" si="25"/>
        <v>0</v>
      </c>
      <c r="R97" s="146">
        <f t="shared" si="25"/>
        <v>142800000</v>
      </c>
      <c r="S97" s="146">
        <f>SUM(S63+S70+S81+S96)</f>
        <v>58615502</v>
      </c>
      <c r="T97" s="146">
        <f>SUM(T63+T70+T81+T96)</f>
        <v>67554151</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17500000</v>
      </c>
      <c r="C99" s="979">
        <v>17500000</v>
      </c>
      <c r="D99" s="979"/>
      <c r="E99" s="979">
        <f>C99-H99</f>
        <v>6000000</v>
      </c>
      <c r="F99" s="147"/>
      <c r="G99" s="147"/>
      <c r="H99" s="147">
        <v>11500000</v>
      </c>
      <c r="I99" s="147"/>
      <c r="J99" s="147"/>
      <c r="K99" s="147"/>
      <c r="L99" s="147"/>
      <c r="M99" s="147"/>
      <c r="N99" s="147"/>
      <c r="O99" s="147"/>
      <c r="P99" s="147"/>
      <c r="Q99" s="147"/>
      <c r="R99" s="516">
        <f>SUM(E99:Q99)</f>
        <v>17500000</v>
      </c>
      <c r="S99" s="147">
        <v>7636740.5499999998</v>
      </c>
      <c r="T99" s="147">
        <v>9863259.4499999993</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17500000</v>
      </c>
      <c r="C104" s="146">
        <f>SUM(C99:C103)</f>
        <v>17500000</v>
      </c>
      <c r="D104" s="146">
        <f t="shared" ref="D104:T104" si="26">SUM(D99:D103)</f>
        <v>0</v>
      </c>
      <c r="E104" s="146">
        <f t="shared" si="26"/>
        <v>6000000</v>
      </c>
      <c r="F104" s="146">
        <f t="shared" si="26"/>
        <v>0</v>
      </c>
      <c r="G104" s="146">
        <f t="shared" si="26"/>
        <v>0</v>
      </c>
      <c r="H104" s="146">
        <f t="shared" si="26"/>
        <v>11500000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17500000</v>
      </c>
      <c r="S104" s="150">
        <f t="shared" si="26"/>
        <v>7636740.5499999998</v>
      </c>
      <c r="T104" s="150">
        <f t="shared" si="26"/>
        <v>9863259.4499999993</v>
      </c>
      <c r="U104" s="143"/>
    </row>
    <row r="105" spans="1:21" s="144" customFormat="1">
      <c r="A105" s="149" t="s">
        <v>781</v>
      </c>
      <c r="B105" s="150">
        <f>SUM(C105:D105)</f>
        <v>160300000</v>
      </c>
      <c r="C105" s="150">
        <f t="shared" ref="C105:R105" si="27">SUM(C97+C104)</f>
        <v>160300000</v>
      </c>
      <c r="D105" s="150">
        <f t="shared" si="27"/>
        <v>0</v>
      </c>
      <c r="E105" s="150">
        <f t="shared" si="27"/>
        <v>57560000.000000007</v>
      </c>
      <c r="F105" s="150">
        <f t="shared" si="27"/>
        <v>25370000</v>
      </c>
      <c r="G105" s="150">
        <f t="shared" si="27"/>
        <v>60470000</v>
      </c>
      <c r="H105" s="150">
        <f t="shared" si="27"/>
        <v>11500000</v>
      </c>
      <c r="I105" s="150">
        <f t="shared" si="27"/>
        <v>1600000</v>
      </c>
      <c r="J105" s="150">
        <f t="shared" si="27"/>
        <v>3800000</v>
      </c>
      <c r="K105" s="150">
        <f t="shared" si="27"/>
        <v>0</v>
      </c>
      <c r="L105" s="150">
        <f t="shared" si="27"/>
        <v>0</v>
      </c>
      <c r="M105" s="150">
        <f t="shared" si="27"/>
        <v>0</v>
      </c>
      <c r="N105" s="150">
        <f t="shared" si="27"/>
        <v>0</v>
      </c>
      <c r="O105" s="150">
        <f t="shared" si="27"/>
        <v>0</v>
      </c>
      <c r="P105" s="150">
        <f t="shared" si="27"/>
        <v>0</v>
      </c>
      <c r="Q105" s="150">
        <f t="shared" si="27"/>
        <v>0</v>
      </c>
      <c r="R105" s="342">
        <f t="shared" si="27"/>
        <v>160300000</v>
      </c>
      <c r="S105" s="150">
        <f>S97+S104</f>
        <v>66252242.549999997</v>
      </c>
      <c r="T105" s="150">
        <f>T97+T104</f>
        <v>77417410.450000003</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66252242.549999997</v>
      </c>
      <c r="T107" s="150">
        <f>T105+T106</f>
        <v>77417410.450000003</v>
      </c>
    </row>
    <row r="108" spans="1:21" s="189" customFormat="1">
      <c r="A108" s="162" t="s">
        <v>880</v>
      </c>
      <c r="B108" s="157"/>
      <c r="C108" s="157"/>
      <c r="D108" s="157"/>
      <c r="E108" s="301">
        <f>Application!AO640</f>
        <v>57560000</v>
      </c>
      <c r="F108" s="301">
        <f>Application!AO627</f>
        <v>25370000</v>
      </c>
      <c r="G108" s="301">
        <f>Application!AO628</f>
        <v>60470000</v>
      </c>
      <c r="H108" s="301">
        <f>Application!AO629</f>
        <v>11500000</v>
      </c>
      <c r="I108" s="301">
        <f>Application!AO630</f>
        <v>1600000</v>
      </c>
      <c r="J108" s="301">
        <f>Application!AO631</f>
        <v>3800000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993</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994</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75">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I99" sqref="I99:J10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7445849</v>
      </c>
      <c r="C4" s="362">
        <v>7445849</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7445849</v>
      </c>
      <c r="C8" s="361">
        <f>SUM(C4:C7)</f>
        <v>7445849</v>
      </c>
      <c r="D8" s="361">
        <f>SUM(D4:D7)</f>
        <v>0</v>
      </c>
      <c r="E8" s="363"/>
      <c r="F8" s="363"/>
      <c r="G8" s="363"/>
      <c r="H8" s="363"/>
      <c r="I8" s="363"/>
      <c r="J8" s="363"/>
      <c r="K8" s="359"/>
    </row>
    <row r="9" spans="1:11" s="360" customFormat="1">
      <c r="A9" s="364" t="s">
        <v>595</v>
      </c>
      <c r="B9" s="361">
        <f>'Sources and Uses Budget'!C9</f>
        <v>67554151</v>
      </c>
      <c r="C9" s="362">
        <v>67554151</v>
      </c>
      <c r="D9" s="362"/>
      <c r="E9" s="363"/>
      <c r="F9" s="363"/>
      <c r="G9" s="363"/>
      <c r="H9" s="361">
        <f>'Sources and Uses Budget'!T9</f>
        <v>67554151</v>
      </c>
      <c r="I9" s="362">
        <f>H9</f>
        <v>67554151</v>
      </c>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67554151</v>
      </c>
      <c r="C11" s="361">
        <f>SUM(C9:C10)</f>
        <v>67554151</v>
      </c>
      <c r="D11" s="361">
        <f>SUM(D9:D10)</f>
        <v>0</v>
      </c>
      <c r="E11" s="363"/>
      <c r="F11" s="363"/>
      <c r="G11" s="363"/>
      <c r="H11" s="361">
        <f>'Sources and Uses Budget'!T11</f>
        <v>67554151</v>
      </c>
      <c r="I11" s="361">
        <f>SUM(I9:I10)</f>
        <v>67554151</v>
      </c>
      <c r="J11" s="361">
        <f>SUM(J9:J10)</f>
        <v>0</v>
      </c>
      <c r="K11" s="359"/>
    </row>
    <row r="12" spans="1:11" s="360" customFormat="1">
      <c r="A12" s="365" t="s">
        <v>84</v>
      </c>
      <c r="B12" s="361">
        <f>'Sources and Uses Budget'!C12</f>
        <v>75000000</v>
      </c>
      <c r="C12" s="361">
        <f>SUM(C8+C11)</f>
        <v>75000000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3204790</v>
      </c>
      <c r="C17" s="362">
        <v>3204790</v>
      </c>
      <c r="D17" s="362"/>
      <c r="E17" s="361">
        <f>'Sources and Uses Budget'!S17</f>
        <v>3204790</v>
      </c>
      <c r="F17" s="362">
        <v>3204790</v>
      </c>
      <c r="G17" s="362"/>
      <c r="H17" s="361">
        <f>'Sources and Uses Budget'!T17</f>
        <v>0</v>
      </c>
      <c r="I17" s="362"/>
      <c r="J17" s="362"/>
      <c r="K17" s="359"/>
    </row>
    <row r="18" spans="1:11" s="360" customFormat="1">
      <c r="A18" s="364" t="s">
        <v>600</v>
      </c>
      <c r="B18" s="361">
        <f>'Sources and Uses Budget'!C18</f>
        <v>27763834</v>
      </c>
      <c r="C18" s="362">
        <v>27763834</v>
      </c>
      <c r="D18" s="362"/>
      <c r="E18" s="361">
        <f>'Sources and Uses Budget'!S18</f>
        <v>27763834</v>
      </c>
      <c r="F18" s="362">
        <v>27763834</v>
      </c>
      <c r="G18" s="362"/>
      <c r="H18" s="361">
        <f>'Sources and Uses Budget'!T18</f>
        <v>0</v>
      </c>
      <c r="I18" s="362"/>
      <c r="J18" s="362"/>
      <c r="K18" s="359"/>
    </row>
    <row r="19" spans="1:11" s="360" customFormat="1">
      <c r="A19" s="364" t="s">
        <v>601</v>
      </c>
      <c r="B19" s="361">
        <f>'Sources and Uses Budget'!C19</f>
        <v>2787176.16</v>
      </c>
      <c r="C19" s="362">
        <v>2787176.16</v>
      </c>
      <c r="D19" s="362"/>
      <c r="E19" s="361">
        <f>'Sources and Uses Budget'!S19</f>
        <v>2787176.16</v>
      </c>
      <c r="F19" s="362">
        <v>2787176.16</v>
      </c>
      <c r="G19" s="362"/>
      <c r="H19" s="361">
        <f>'Sources and Uses Budget'!T19</f>
        <v>0</v>
      </c>
      <c r="I19" s="362"/>
      <c r="J19" s="362"/>
      <c r="K19" s="359"/>
    </row>
    <row r="20" spans="1:11" s="360" customFormat="1">
      <c r="A20" s="364" t="s">
        <v>137</v>
      </c>
      <c r="B20" s="361">
        <f>'Sources and Uses Budget'!C20</f>
        <v>0</v>
      </c>
      <c r="C20" s="362">
        <v>0</v>
      </c>
      <c r="D20" s="362"/>
      <c r="E20" s="361">
        <f>'Sources and Uses Budget'!S20</f>
        <v>0</v>
      </c>
      <c r="F20" s="362">
        <v>0</v>
      </c>
      <c r="G20" s="362"/>
      <c r="H20" s="361">
        <f>'Sources and Uses Budget'!T20</f>
        <v>0</v>
      </c>
      <c r="I20" s="362"/>
      <c r="J20" s="362"/>
      <c r="K20" s="359"/>
    </row>
    <row r="21" spans="1:11" s="360" customFormat="1">
      <c r="A21" s="364" t="s">
        <v>138</v>
      </c>
      <c r="B21" s="361">
        <f>'Sources and Uses Budget'!C21</f>
        <v>1753710.93</v>
      </c>
      <c r="C21" s="362">
        <v>1753710.93</v>
      </c>
      <c r="D21" s="362"/>
      <c r="E21" s="361">
        <f>'Sources and Uses Budget'!S21</f>
        <v>1753710.93</v>
      </c>
      <c r="F21" s="362">
        <v>1753710.93</v>
      </c>
      <c r="G21" s="362"/>
      <c r="H21" s="361">
        <f>'Sources and Uses Budget'!T21</f>
        <v>0</v>
      </c>
      <c r="I21" s="362"/>
      <c r="J21" s="362"/>
      <c r="K21" s="359"/>
    </row>
    <row r="22" spans="1:11" s="360" customFormat="1">
      <c r="A22" s="364" t="s">
        <v>139</v>
      </c>
      <c r="B22" s="361">
        <f>'Sources and Uses Budget'!C22</f>
        <v>0</v>
      </c>
      <c r="C22" s="362">
        <v>0</v>
      </c>
      <c r="D22" s="362"/>
      <c r="E22" s="361">
        <f>'Sources and Uses Budget'!S22</f>
        <v>0</v>
      </c>
      <c r="F22" s="362">
        <v>0</v>
      </c>
      <c r="G22" s="362"/>
      <c r="H22" s="361">
        <f>'Sources and Uses Budget'!T22</f>
        <v>0</v>
      </c>
      <c r="I22" s="362"/>
      <c r="J22" s="362"/>
      <c r="K22" s="359"/>
    </row>
    <row r="23" spans="1:11" s="360" customFormat="1">
      <c r="A23" s="364" t="s">
        <v>140</v>
      </c>
      <c r="B23" s="361">
        <f>'Sources and Uses Budget'!C23</f>
        <v>984236</v>
      </c>
      <c r="C23" s="362">
        <v>984236</v>
      </c>
      <c r="D23" s="362"/>
      <c r="E23" s="361">
        <f>'Sources and Uses Budget'!S23</f>
        <v>984236</v>
      </c>
      <c r="F23" s="362">
        <v>984236</v>
      </c>
      <c r="G23" s="362"/>
      <c r="H23" s="361">
        <f>'Sources and Uses Budget'!T23</f>
        <v>0</v>
      </c>
      <c r="I23" s="362"/>
      <c r="J23" s="362"/>
      <c r="K23" s="359"/>
    </row>
    <row r="24" spans="1:11" s="360" customFormat="1">
      <c r="A24" s="508" t="s">
        <v>1641</v>
      </c>
      <c r="B24" s="361">
        <f>'Sources and Uses Budget'!C24</f>
        <v>0</v>
      </c>
      <c r="C24" s="362">
        <v>0</v>
      </c>
      <c r="D24" s="362"/>
      <c r="E24" s="361">
        <f>'Sources and Uses Budget'!S24</f>
        <v>0</v>
      </c>
      <c r="F24" s="362">
        <v>0</v>
      </c>
      <c r="G24" s="362"/>
      <c r="H24" s="361">
        <f>'Sources and Uses Budget'!T24</f>
        <v>0</v>
      </c>
      <c r="I24" s="362"/>
      <c r="J24" s="362"/>
      <c r="K24" s="359"/>
    </row>
    <row r="25" spans="1:11" s="360" customFormat="1">
      <c r="A25" s="364" t="str">
        <f>'Sources and Uses Budget'!$A25</f>
        <v>Other: P&amp;P Bond + Gross Tax Receipts</v>
      </c>
      <c r="B25" s="361">
        <f>'Sources and Uses Budget'!C25</f>
        <v>334182.42000000004</v>
      </c>
      <c r="C25" s="362">
        <v>334182.42000000004</v>
      </c>
      <c r="D25" s="362"/>
      <c r="E25" s="361">
        <f>'Sources and Uses Budget'!S25</f>
        <v>334182.42000000004</v>
      </c>
      <c r="F25" s="362">
        <v>334182.42000000004</v>
      </c>
      <c r="G25" s="362"/>
      <c r="H25" s="361">
        <f>'Sources and Uses Budget'!T25</f>
        <v>0</v>
      </c>
      <c r="I25" s="362"/>
      <c r="J25" s="362"/>
      <c r="K25" s="359"/>
    </row>
    <row r="26" spans="1:11" s="360" customFormat="1">
      <c r="A26" s="365" t="s">
        <v>133</v>
      </c>
      <c r="B26" s="361">
        <f>'Sources and Uses Budget'!C26</f>
        <v>36827929.509999998</v>
      </c>
      <c r="C26" s="361">
        <f>SUM(C17:C25)</f>
        <v>36827929.509999998</v>
      </c>
      <c r="D26" s="361">
        <f>SUM(D17:D25)</f>
        <v>0</v>
      </c>
      <c r="E26" s="361">
        <f>'Sources and Uses Budget'!S26</f>
        <v>36827929.509999998</v>
      </c>
      <c r="F26" s="367">
        <f>SUM(F17:F25)</f>
        <v>36827929.509999998</v>
      </c>
      <c r="G26" s="367">
        <f>SUM(G17:G25)</f>
        <v>0</v>
      </c>
      <c r="H26" s="361">
        <f>'Sources and Uses Budget'!T26</f>
        <v>0</v>
      </c>
      <c r="I26" s="367">
        <f>SUM(I17:I25)</f>
        <v>0</v>
      </c>
      <c r="J26" s="367">
        <f>SUM(J17:J25)</f>
        <v>0</v>
      </c>
      <c r="K26" s="359"/>
    </row>
    <row r="27" spans="1:11" s="360" customFormat="1">
      <c r="A27" s="365" t="s">
        <v>141</v>
      </c>
      <c r="B27" s="361">
        <f>'Sources and Uses Budget'!C27</f>
        <v>5880000</v>
      </c>
      <c r="C27" s="362">
        <v>5880000</v>
      </c>
      <c r="D27" s="362"/>
      <c r="E27" s="361">
        <f>'Sources and Uses Budget'!S27</f>
        <v>5880000</v>
      </c>
      <c r="F27" s="362">
        <v>5880000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905000</v>
      </c>
      <c r="C40" s="362">
        <f>B40</f>
        <v>905000</v>
      </c>
      <c r="D40" s="362"/>
      <c r="E40" s="361">
        <f>'Sources and Uses Budget'!S40</f>
        <v>905000</v>
      </c>
      <c r="F40" s="362">
        <f>E40</f>
        <v>905000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905000</v>
      </c>
      <c r="C42" s="361">
        <f>SUM(C39:C41)</f>
        <v>905000</v>
      </c>
      <c r="D42" s="361">
        <f>SUM(D39:D41)</f>
        <v>0</v>
      </c>
      <c r="E42" s="361">
        <f>'Sources and Uses Budget'!S42</f>
        <v>905000</v>
      </c>
      <c r="F42" s="367">
        <f>SUM(F40:F41)</f>
        <v>905000</v>
      </c>
      <c r="G42" s="367">
        <f>SUM(G40:G41)</f>
        <v>0</v>
      </c>
      <c r="H42" s="361">
        <f>'Sources and Uses Budget'!T42</f>
        <v>0</v>
      </c>
      <c r="I42" s="367">
        <f>SUM(I40:I41)</f>
        <v>0</v>
      </c>
      <c r="J42" s="367">
        <f>SUM(J40:J41)</f>
        <v>0</v>
      </c>
      <c r="K42" s="359"/>
    </row>
    <row r="43" spans="1:11" s="360" customFormat="1">
      <c r="A43" s="365" t="s">
        <v>148</v>
      </c>
      <c r="B43" s="361">
        <f>'Sources and Uses Budget'!C43</f>
        <v>958000</v>
      </c>
      <c r="C43" s="362">
        <f>B43</f>
        <v>958000</v>
      </c>
      <c r="D43" s="362"/>
      <c r="E43" s="361">
        <f>'Sources and Uses Budget'!S43</f>
        <v>958000</v>
      </c>
      <c r="F43" s="362">
        <f>E43</f>
        <v>958000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4075000</v>
      </c>
      <c r="C45" s="362">
        <f>B45</f>
        <v>4075000</v>
      </c>
      <c r="D45" s="362"/>
      <c r="E45" s="361">
        <f>'Sources and Uses Budget'!S45</f>
        <v>2639252</v>
      </c>
      <c r="F45" s="362">
        <f>E45</f>
        <v>2639252</v>
      </c>
      <c r="G45" s="362"/>
      <c r="H45" s="361">
        <f>'Sources and Uses Budget'!T45</f>
        <v>0</v>
      </c>
      <c r="I45" s="362"/>
      <c r="J45" s="362"/>
      <c r="K45" s="359"/>
    </row>
    <row r="46" spans="1:11" s="360" customFormat="1">
      <c r="A46" s="364" t="s">
        <v>151</v>
      </c>
      <c r="B46" s="361">
        <f>'Sources and Uses Budget'!C46</f>
        <v>865000</v>
      </c>
      <c r="C46" s="362">
        <f t="shared" ref="C46:C53" si="0">B46</f>
        <v>865000</v>
      </c>
      <c r="D46" s="362"/>
      <c r="E46" s="361">
        <f>'Sources and Uses Budget'!S46</f>
        <v>705000</v>
      </c>
      <c r="F46" s="362">
        <f t="shared" ref="F46:F53" si="1">E46</f>
        <v>705000</v>
      </c>
      <c r="G46" s="362"/>
      <c r="H46" s="361">
        <f>'Sources and Uses Budget'!T46</f>
        <v>0</v>
      </c>
      <c r="I46" s="362"/>
      <c r="J46" s="362"/>
      <c r="K46" s="359"/>
    </row>
    <row r="47" spans="1:11" s="360" customFormat="1" ht="12" customHeight="1">
      <c r="A47" s="364" t="s">
        <v>152</v>
      </c>
      <c r="B47" s="361">
        <f>'Sources and Uses Budget'!C47</f>
        <v>0</v>
      </c>
      <c r="C47" s="362">
        <f t="shared" si="0"/>
        <v>0</v>
      </c>
      <c r="D47" s="362"/>
      <c r="E47" s="361">
        <f>'Sources and Uses Budget'!S47</f>
        <v>0</v>
      </c>
      <c r="F47" s="362">
        <f t="shared" si="1"/>
        <v>0</v>
      </c>
      <c r="G47" s="362"/>
      <c r="H47" s="361">
        <f>'Sources and Uses Budget'!T47</f>
        <v>0</v>
      </c>
      <c r="I47" s="362"/>
      <c r="J47" s="362"/>
      <c r="K47" s="359"/>
    </row>
    <row r="48" spans="1:11" s="360" customFormat="1">
      <c r="A48" s="364" t="s">
        <v>153</v>
      </c>
      <c r="B48" s="361">
        <f>'Sources and Uses Budget'!C48</f>
        <v>0</v>
      </c>
      <c r="C48" s="362">
        <f t="shared" si="0"/>
        <v>0</v>
      </c>
      <c r="D48" s="362"/>
      <c r="E48" s="361">
        <f>'Sources and Uses Budget'!S48</f>
        <v>0</v>
      </c>
      <c r="F48" s="362">
        <f t="shared" si="1"/>
        <v>0</v>
      </c>
      <c r="G48" s="362"/>
      <c r="H48" s="361">
        <f>'Sources and Uses Budget'!T48</f>
        <v>0</v>
      </c>
      <c r="I48" s="362"/>
      <c r="J48" s="362"/>
      <c r="K48" s="359"/>
    </row>
    <row r="49" spans="1:11" s="360" customFormat="1">
      <c r="A49" s="283" t="s">
        <v>57</v>
      </c>
      <c r="B49" s="361">
        <f>'Sources and Uses Budget'!C49</f>
        <v>468000</v>
      </c>
      <c r="C49" s="362">
        <f t="shared" si="0"/>
        <v>468000</v>
      </c>
      <c r="D49" s="362"/>
      <c r="E49" s="361">
        <f>'Sources and Uses Budget'!S49</f>
        <v>0</v>
      </c>
      <c r="F49" s="362">
        <f t="shared" si="1"/>
        <v>0</v>
      </c>
      <c r="G49" s="362"/>
      <c r="H49" s="361">
        <f>'Sources and Uses Budget'!T49</f>
        <v>0</v>
      </c>
      <c r="I49" s="362"/>
      <c r="J49" s="362"/>
      <c r="K49" s="359"/>
    </row>
    <row r="50" spans="1:11" s="360" customFormat="1">
      <c r="A50" s="364" t="s">
        <v>156</v>
      </c>
      <c r="B50" s="361">
        <f>'Sources and Uses Budget'!C50</f>
        <v>650000</v>
      </c>
      <c r="C50" s="362">
        <f t="shared" si="0"/>
        <v>650000</v>
      </c>
      <c r="D50" s="362"/>
      <c r="E50" s="361">
        <f>'Sources and Uses Budget'!S50</f>
        <v>550000</v>
      </c>
      <c r="F50" s="362">
        <f t="shared" si="1"/>
        <v>550000</v>
      </c>
      <c r="G50" s="362"/>
      <c r="H50" s="361">
        <f>'Sources and Uses Budget'!T50</f>
        <v>0</v>
      </c>
      <c r="I50" s="362"/>
      <c r="J50" s="362"/>
      <c r="K50" s="359"/>
    </row>
    <row r="51" spans="1:11" s="360" customFormat="1">
      <c r="A51" s="364" t="s">
        <v>154</v>
      </c>
      <c r="B51" s="361">
        <f>'Sources and Uses Budget'!C51</f>
        <v>0</v>
      </c>
      <c r="C51" s="362">
        <f t="shared" si="0"/>
        <v>0</v>
      </c>
      <c r="D51" s="362"/>
      <c r="E51" s="361">
        <f>'Sources and Uses Budget'!S51</f>
        <v>0</v>
      </c>
      <c r="F51" s="362">
        <f t="shared" si="1"/>
        <v>0</v>
      </c>
      <c r="G51" s="362"/>
      <c r="H51" s="361">
        <f>'Sources and Uses Budget'!T51</f>
        <v>0</v>
      </c>
      <c r="I51" s="362"/>
      <c r="J51" s="362"/>
      <c r="K51" s="359"/>
    </row>
    <row r="52" spans="1:11" s="360" customFormat="1">
      <c r="A52" s="364" t="s">
        <v>155</v>
      </c>
      <c r="B52" s="361">
        <f>'Sources and Uses Budget'!C52</f>
        <v>1505000</v>
      </c>
      <c r="C52" s="362">
        <f t="shared" si="0"/>
        <v>1505000</v>
      </c>
      <c r="D52" s="362"/>
      <c r="E52" s="361">
        <f>'Sources and Uses Budget'!S52</f>
        <v>1505000</v>
      </c>
      <c r="F52" s="362">
        <f t="shared" si="1"/>
        <v>1505000</v>
      </c>
      <c r="G52" s="362"/>
      <c r="H52" s="361">
        <f>'Sources and Uses Budget'!T52</f>
        <v>0</v>
      </c>
      <c r="I52" s="362"/>
      <c r="J52" s="362"/>
      <c r="K52" s="359"/>
    </row>
    <row r="53" spans="1:11" s="360" customFormat="1">
      <c r="A53" s="364" t="str">
        <f>'Sources and Uses Budget'!$A53</f>
        <v>Other: (Specify)</v>
      </c>
      <c r="B53" s="361">
        <f>'Sources and Uses Budget'!C53</f>
        <v>0</v>
      </c>
      <c r="C53" s="362">
        <f t="shared" si="0"/>
        <v>0</v>
      </c>
      <c r="D53" s="362"/>
      <c r="E53" s="361">
        <f>'Sources and Uses Budget'!S53</f>
        <v>0</v>
      </c>
      <c r="F53" s="362">
        <f t="shared" si="1"/>
        <v>0</v>
      </c>
      <c r="G53" s="362"/>
      <c r="H53" s="361">
        <f>'Sources and Uses Budget'!T53</f>
        <v>0</v>
      </c>
      <c r="I53" s="362"/>
      <c r="J53" s="362"/>
      <c r="K53" s="359"/>
    </row>
    <row r="54" spans="1:11" s="369" customFormat="1">
      <c r="A54" s="365" t="s">
        <v>157</v>
      </c>
      <c r="B54" s="361">
        <f>'Sources and Uses Budget'!C54</f>
        <v>7563000</v>
      </c>
      <c r="C54" s="367">
        <f>SUM(C45:C53)</f>
        <v>7563000</v>
      </c>
      <c r="D54" s="367">
        <f>SUM(D45:D53)</f>
        <v>0</v>
      </c>
      <c r="E54" s="361">
        <f>'Sources and Uses Budget'!S54</f>
        <v>5399252</v>
      </c>
      <c r="F54" s="367">
        <f>SUM(F45:F53)</f>
        <v>5399252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272750</v>
      </c>
      <c r="C56" s="362">
        <f>B56</f>
        <v>272750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272750</v>
      </c>
      <c r="C62" s="361">
        <f>SUM(C56:C61)</f>
        <v>272750</v>
      </c>
      <c r="D62" s="361">
        <f>SUM(D56:D61)</f>
        <v>0</v>
      </c>
      <c r="E62" s="363"/>
      <c r="F62" s="363"/>
      <c r="G62" s="363"/>
      <c r="H62" s="363"/>
      <c r="I62" s="363"/>
      <c r="J62" s="363"/>
      <c r="K62" s="359"/>
    </row>
    <row r="63" spans="1:11" s="360" customFormat="1">
      <c r="A63" s="370" t="s">
        <v>302</v>
      </c>
      <c r="B63" s="361">
        <f>'Sources and Uses Budget'!C63</f>
        <v>127406679.50999999</v>
      </c>
      <c r="C63" s="361">
        <f>SUM(C8+C11+C13+C14+C15+C26+C27+C38+C42+C43+C54+C62)</f>
        <v>127406679.50999999</v>
      </c>
      <c r="D63" s="361">
        <f>SUM(D8+D11+D13+D14+D15+D26+D27+D38+D42+D43+D54+D62)</f>
        <v>0</v>
      </c>
      <c r="E63" s="361">
        <f>'Sources and Uses Budget'!S63</f>
        <v>49970181.509999998</v>
      </c>
      <c r="F63" s="361">
        <f>SUM(F10+F13+F14+F15+F26+F27+F38+F42+F43+F54)</f>
        <v>49970181.509999998</v>
      </c>
      <c r="G63" s="361">
        <f>SUM(G10+G13+G14+G15+G26+G27+G38+G42+G43+G54)</f>
        <v>0</v>
      </c>
      <c r="H63" s="361">
        <f>'Sources and Uses Budget'!T63</f>
        <v>67554151</v>
      </c>
      <c r="I63" s="361">
        <f>SUM(I11+I13+I14+I15+I26+I27+I38+I42+I43+I54)</f>
        <v>67554151</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408000</v>
      </c>
      <c r="C65" s="362">
        <f>B65</f>
        <v>408000</v>
      </c>
      <c r="D65" s="362"/>
      <c r="E65" s="361">
        <f>'Sources and Uses Budget'!S65</f>
        <v>185000</v>
      </c>
      <c r="F65" s="362">
        <f>E65</f>
        <v>185000</v>
      </c>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408000</v>
      </c>
      <c r="C70" s="361">
        <f>SUM(C64:C69)</f>
        <v>408000</v>
      </c>
      <c r="D70" s="361">
        <f>SUM(D64:D69)</f>
        <v>0</v>
      </c>
      <c r="E70" s="361">
        <f>'Sources and Uses Budget'!S70</f>
        <v>185000</v>
      </c>
      <c r="F70" s="367">
        <f>SUM(F65:F69)</f>
        <v>185000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3420000</v>
      </c>
      <c r="C75" s="362">
        <f>B75</f>
        <v>3420000</v>
      </c>
      <c r="D75" s="362"/>
      <c r="E75" s="363"/>
      <c r="F75" s="363"/>
      <c r="G75" s="363"/>
      <c r="H75" s="363"/>
      <c r="I75" s="363"/>
      <c r="J75" s="363"/>
      <c r="K75" s="359"/>
    </row>
    <row r="76" spans="1:11" s="360" customFormat="1" ht="24">
      <c r="A76" s="364" t="str">
        <f>'Sources and Uses Budget'!$A76</f>
        <v>Other: Capitalized Replacement Reserves</v>
      </c>
      <c r="B76" s="361">
        <f>'Sources and Uses Budget'!C76</f>
        <v>2250000</v>
      </c>
      <c r="C76" s="362">
        <f>B76</f>
        <v>2250000</v>
      </c>
      <c r="D76" s="362"/>
      <c r="E76" s="363"/>
      <c r="F76" s="363"/>
      <c r="G76" s="363"/>
      <c r="H76" s="363"/>
      <c r="I76" s="363"/>
      <c r="J76" s="363"/>
      <c r="K76" s="359"/>
    </row>
    <row r="77" spans="1:11" s="360" customFormat="1">
      <c r="A77" s="365" t="s">
        <v>607</v>
      </c>
      <c r="B77" s="361">
        <f>'Sources and Uses Budget'!C77</f>
        <v>5670000</v>
      </c>
      <c r="C77" s="361">
        <f>SUM(C72:C76)</f>
        <v>5670000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7365570.4900000002</v>
      </c>
      <c r="C79" s="362">
        <f>B79</f>
        <v>7365570.4900000002</v>
      </c>
      <c r="D79" s="362"/>
      <c r="E79" s="361">
        <f>'Sources and Uses Budget'!S79</f>
        <v>7365570.4900000002</v>
      </c>
      <c r="F79" s="362">
        <f>E79</f>
        <v>7365570.4900000002</v>
      </c>
      <c r="G79" s="362"/>
      <c r="H79" s="361">
        <f>'Sources and Uses Budget'!T79</f>
        <v>0</v>
      </c>
      <c r="I79" s="362"/>
      <c r="J79" s="362"/>
      <c r="K79" s="359"/>
    </row>
    <row r="80" spans="1:11" s="360" customFormat="1">
      <c r="A80" s="364" t="s">
        <v>58</v>
      </c>
      <c r="B80" s="361">
        <f>'Sources and Uses Budget'!C80</f>
        <v>840000</v>
      </c>
      <c r="C80" s="362">
        <f>B80</f>
        <v>840000</v>
      </c>
      <c r="D80" s="362"/>
      <c r="E80" s="361">
        <f>'Sources and Uses Budget'!S80</f>
        <v>200000</v>
      </c>
      <c r="F80" s="362">
        <f>E80</f>
        <v>200000</v>
      </c>
      <c r="G80" s="362"/>
      <c r="H80" s="361">
        <f>'Sources and Uses Budget'!T80</f>
        <v>0</v>
      </c>
      <c r="I80" s="362"/>
      <c r="J80" s="362"/>
      <c r="K80" s="359"/>
    </row>
    <row r="81" spans="1:11" s="360" customFormat="1">
      <c r="A81" s="365" t="s">
        <v>1210</v>
      </c>
      <c r="B81" s="361">
        <f>'Sources and Uses Budget'!C81</f>
        <v>8205570.4900000002</v>
      </c>
      <c r="C81" s="361">
        <f>SUM(C79:C80)</f>
        <v>8205570.4900000002</v>
      </c>
      <c r="D81" s="361">
        <f>SUM(D79:D80)</f>
        <v>0</v>
      </c>
      <c r="E81" s="361">
        <f>'Sources and Uses Budget'!S81</f>
        <v>7565570.4900000002</v>
      </c>
      <c r="F81" s="361">
        <f>SUM(F79:F80)</f>
        <v>7565570.4900000002</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200000</v>
      </c>
      <c r="C83" s="362">
        <f>B83</f>
        <v>200000</v>
      </c>
      <c r="D83" s="362"/>
      <c r="E83" s="363"/>
      <c r="F83" s="363"/>
      <c r="G83" s="363"/>
      <c r="H83" s="363"/>
      <c r="I83" s="363"/>
      <c r="J83" s="363"/>
      <c r="K83" s="359"/>
    </row>
    <row r="84" spans="1:11" s="360" customFormat="1">
      <c r="A84" s="145" t="s">
        <v>768</v>
      </c>
      <c r="B84" s="361">
        <f>'Sources and Uses Budget'!C84</f>
        <v>25000</v>
      </c>
      <c r="C84" s="362">
        <f t="shared" ref="C84:C95" si="2">B84</f>
        <v>25000</v>
      </c>
      <c r="D84" s="362"/>
      <c r="E84" s="361">
        <f>'Sources and Uses Budget'!S84</f>
        <v>25000</v>
      </c>
      <c r="F84" s="362">
        <f>E84</f>
        <v>25000</v>
      </c>
      <c r="G84" s="362"/>
      <c r="H84" s="361">
        <f>'Sources and Uses Budget'!T84</f>
        <v>0</v>
      </c>
      <c r="I84" s="362"/>
      <c r="J84" s="362"/>
      <c r="K84" s="359"/>
    </row>
    <row r="85" spans="1:11" s="360" customFormat="1">
      <c r="A85" s="145" t="s">
        <v>769</v>
      </c>
      <c r="B85" s="361">
        <f>'Sources and Uses Budget'!C85</f>
        <v>0</v>
      </c>
      <c r="C85" s="362">
        <f t="shared" si="2"/>
        <v>0</v>
      </c>
      <c r="D85" s="362"/>
      <c r="E85" s="361">
        <f>'Sources and Uses Budget'!S85</f>
        <v>0</v>
      </c>
      <c r="F85" s="362">
        <f t="shared" ref="F85:F87" si="3">E85</f>
        <v>0</v>
      </c>
      <c r="G85" s="362"/>
      <c r="H85" s="361">
        <f>'Sources and Uses Budget'!T85</f>
        <v>0</v>
      </c>
      <c r="I85" s="362"/>
      <c r="J85" s="362"/>
      <c r="K85" s="359"/>
    </row>
    <row r="86" spans="1:11" s="360" customFormat="1">
      <c r="A86" s="145" t="s">
        <v>770</v>
      </c>
      <c r="B86" s="361">
        <f>'Sources and Uses Budget'!C86</f>
        <v>450000</v>
      </c>
      <c r="C86" s="362">
        <f t="shared" si="2"/>
        <v>450000</v>
      </c>
      <c r="D86" s="362"/>
      <c r="E86" s="361">
        <f>'Sources and Uses Budget'!S86</f>
        <v>450000</v>
      </c>
      <c r="F86" s="362">
        <f t="shared" si="3"/>
        <v>450000</v>
      </c>
      <c r="G86" s="362"/>
      <c r="H86" s="361">
        <f>'Sources and Uses Budget'!T86</f>
        <v>0</v>
      </c>
      <c r="I86" s="362"/>
      <c r="J86" s="362"/>
      <c r="K86" s="359"/>
    </row>
    <row r="87" spans="1:11" s="360" customFormat="1">
      <c r="A87" s="145" t="s">
        <v>771</v>
      </c>
      <c r="B87" s="361">
        <f>'Sources and Uses Budget'!C87</f>
        <v>0</v>
      </c>
      <c r="C87" s="362">
        <f t="shared" si="2"/>
        <v>0</v>
      </c>
      <c r="D87" s="362"/>
      <c r="E87" s="361">
        <f>'Sources and Uses Budget'!S87</f>
        <v>0</v>
      </c>
      <c r="F87" s="362">
        <f t="shared" si="3"/>
        <v>0</v>
      </c>
      <c r="G87" s="362"/>
      <c r="H87" s="361">
        <f>'Sources and Uses Budget'!T87</f>
        <v>0</v>
      </c>
      <c r="I87" s="362"/>
      <c r="J87" s="362"/>
      <c r="K87" s="359"/>
    </row>
    <row r="88" spans="1:11" s="360" customFormat="1">
      <c r="A88" s="145" t="s">
        <v>772</v>
      </c>
      <c r="B88" s="361">
        <f>'Sources and Uses Budget'!C88</f>
        <v>0</v>
      </c>
      <c r="C88" s="362">
        <f t="shared" si="2"/>
        <v>0</v>
      </c>
      <c r="D88" s="362"/>
      <c r="E88" s="363"/>
      <c r="F88" s="363"/>
      <c r="G88" s="363"/>
      <c r="H88" s="363"/>
      <c r="I88" s="363"/>
      <c r="J88" s="363"/>
      <c r="K88" s="359"/>
    </row>
    <row r="89" spans="1:11" s="360" customFormat="1">
      <c r="A89" s="145" t="s">
        <v>773</v>
      </c>
      <c r="B89" s="361">
        <f>'Sources and Uses Budget'!C89</f>
        <v>125000</v>
      </c>
      <c r="C89" s="362">
        <f t="shared" si="2"/>
        <v>125000</v>
      </c>
      <c r="D89" s="362"/>
      <c r="E89" s="361">
        <f>'Sources and Uses Budget'!S89</f>
        <v>125000</v>
      </c>
      <c r="F89" s="362">
        <f>E89</f>
        <v>125000</v>
      </c>
      <c r="G89" s="362"/>
      <c r="H89" s="361">
        <f>'Sources and Uses Budget'!T89</f>
        <v>0</v>
      </c>
      <c r="I89" s="362"/>
      <c r="J89" s="362"/>
      <c r="K89" s="359"/>
    </row>
    <row r="90" spans="1:11" s="360" customFormat="1">
      <c r="A90" s="145" t="s">
        <v>774</v>
      </c>
      <c r="B90" s="361">
        <f>'Sources and Uses Budget'!C90</f>
        <v>4750</v>
      </c>
      <c r="C90" s="362">
        <f t="shared" si="2"/>
        <v>4750</v>
      </c>
      <c r="D90" s="362"/>
      <c r="E90" s="361">
        <f>'Sources and Uses Budget'!S90</f>
        <v>4750</v>
      </c>
      <c r="F90" s="362">
        <f t="shared" ref="F90:F95" si="4">E90</f>
        <v>4750</v>
      </c>
      <c r="G90" s="362"/>
      <c r="H90" s="361">
        <f>'Sources and Uses Budget'!T90</f>
        <v>0</v>
      </c>
      <c r="I90" s="362"/>
      <c r="J90" s="362"/>
      <c r="K90" s="359"/>
    </row>
    <row r="91" spans="1:11" s="360" customFormat="1">
      <c r="A91" s="155" t="s">
        <v>372</v>
      </c>
      <c r="B91" s="361">
        <f>'Sources and Uses Budget'!C91</f>
        <v>30000</v>
      </c>
      <c r="C91" s="362">
        <f t="shared" si="2"/>
        <v>30000</v>
      </c>
      <c r="D91" s="362"/>
      <c r="E91" s="361">
        <f>'Sources and Uses Budget'!S91</f>
        <v>15000</v>
      </c>
      <c r="F91" s="362">
        <f t="shared" si="4"/>
        <v>15000</v>
      </c>
      <c r="G91" s="362"/>
      <c r="H91" s="361">
        <f>'Sources and Uses Budget'!T91</f>
        <v>0</v>
      </c>
      <c r="I91" s="362"/>
      <c r="J91" s="362"/>
      <c r="K91" s="359"/>
    </row>
    <row r="92" spans="1:11" s="360" customFormat="1">
      <c r="A92" s="508" t="s">
        <v>1212</v>
      </c>
      <c r="B92" s="361">
        <f>'Sources and Uses Budget'!C92</f>
        <v>10000</v>
      </c>
      <c r="C92" s="362">
        <f t="shared" si="2"/>
        <v>10000</v>
      </c>
      <c r="D92" s="362"/>
      <c r="E92" s="361">
        <f>'Sources and Uses Budget'!S92</f>
        <v>10000</v>
      </c>
      <c r="F92" s="362">
        <f t="shared" si="4"/>
        <v>10000</v>
      </c>
      <c r="G92" s="362"/>
      <c r="H92" s="361">
        <f>'Sources and Uses Budget'!T92</f>
        <v>0</v>
      </c>
      <c r="I92" s="362"/>
      <c r="J92" s="362"/>
      <c r="K92" s="359"/>
    </row>
    <row r="93" spans="1:11" s="360" customFormat="1">
      <c r="A93" s="364" t="str">
        <f>'Sources and Uses Budget'!$A93</f>
        <v>Other: Soils &amp; Geotech</v>
      </c>
      <c r="B93" s="361">
        <f>'Sources and Uses Budget'!C93</f>
        <v>50000</v>
      </c>
      <c r="C93" s="362">
        <f t="shared" si="2"/>
        <v>50000</v>
      </c>
      <c r="D93" s="362"/>
      <c r="E93" s="361">
        <f>'Sources and Uses Budget'!S93</f>
        <v>50000</v>
      </c>
      <c r="F93" s="362">
        <f t="shared" si="4"/>
        <v>50000</v>
      </c>
      <c r="G93" s="362"/>
      <c r="H93" s="361">
        <f>'Sources and Uses Budget'!T93</f>
        <v>0</v>
      </c>
      <c r="I93" s="362"/>
      <c r="J93" s="362"/>
      <c r="K93" s="359"/>
    </row>
    <row r="94" spans="1:11" s="360" customFormat="1">
      <c r="A94" s="364" t="str">
        <f>'Sources and Uses Budget'!$A94</f>
        <v>Other: Deputy Inspections</v>
      </c>
      <c r="B94" s="361">
        <f>'Sources and Uses Budget'!C94</f>
        <v>100000</v>
      </c>
      <c r="C94" s="362">
        <f t="shared" si="2"/>
        <v>100000</v>
      </c>
      <c r="D94" s="362"/>
      <c r="E94" s="361">
        <f>'Sources and Uses Budget'!S94</f>
        <v>100000</v>
      </c>
      <c r="F94" s="362">
        <f t="shared" si="4"/>
        <v>100000</v>
      </c>
      <c r="G94" s="362"/>
      <c r="H94" s="361">
        <f>'Sources and Uses Budget'!T94</f>
        <v>0</v>
      </c>
      <c r="I94" s="362"/>
      <c r="J94" s="362"/>
      <c r="K94" s="359"/>
    </row>
    <row r="95" spans="1:11" s="360" customFormat="1">
      <c r="A95" s="364" t="str">
        <f>'Sources and Uses Budget'!$A95</f>
        <v>Other: PCNA + Third Party Reports</v>
      </c>
      <c r="B95" s="361">
        <f>'Sources and Uses Budget'!C95</f>
        <v>115000</v>
      </c>
      <c r="C95" s="362">
        <f t="shared" si="2"/>
        <v>115000</v>
      </c>
      <c r="D95" s="362"/>
      <c r="E95" s="361">
        <f>'Sources and Uses Budget'!S95</f>
        <v>115000</v>
      </c>
      <c r="F95" s="362">
        <f t="shared" si="4"/>
        <v>115000</v>
      </c>
      <c r="G95" s="362"/>
      <c r="H95" s="361">
        <f>'Sources and Uses Budget'!T95</f>
        <v>0</v>
      </c>
      <c r="I95" s="362"/>
      <c r="J95" s="362"/>
      <c r="K95" s="359"/>
    </row>
    <row r="96" spans="1:11" s="360" customFormat="1">
      <c r="A96" s="365" t="s">
        <v>775</v>
      </c>
      <c r="B96" s="361">
        <f>'Sources and Uses Budget'!C96</f>
        <v>1109750</v>
      </c>
      <c r="C96" s="361">
        <f>SUM(C83:C95)</f>
        <v>1109750</v>
      </c>
      <c r="D96" s="361">
        <f>SUM(D83:D95)</f>
        <v>0</v>
      </c>
      <c r="E96" s="361">
        <f>'Sources and Uses Budget'!S96</f>
        <v>894750</v>
      </c>
      <c r="F96" s="367">
        <f>SUM(F84:F87,F89:F95)</f>
        <v>894750</v>
      </c>
      <c r="G96" s="367">
        <f>SUM(G84:G87,G89:G95)</f>
        <v>0</v>
      </c>
      <c r="H96" s="361">
        <f>'Sources and Uses Budget'!T96</f>
        <v>0</v>
      </c>
      <c r="I96" s="361">
        <f>SUM(I84:I87,I89:I95)</f>
        <v>0</v>
      </c>
      <c r="J96" s="361">
        <f>SUM(J84:J87,J89:J95)</f>
        <v>0</v>
      </c>
      <c r="K96" s="359"/>
    </row>
    <row r="97" spans="1:11" s="360" customFormat="1">
      <c r="A97" s="365" t="s">
        <v>1030</v>
      </c>
      <c r="B97" s="361">
        <f>'Sources and Uses Budget'!C97</f>
        <v>142800000</v>
      </c>
      <c r="C97" s="361">
        <f>SUM(C63+C70+C77+C81+C96)</f>
        <v>142800000</v>
      </c>
      <c r="D97" s="361">
        <f>SUM(D63+D70+D77+D81+D96)</f>
        <v>0</v>
      </c>
      <c r="E97" s="361">
        <f>'Sources and Uses Budget'!S97</f>
        <v>58615502</v>
      </c>
      <c r="F97" s="367">
        <f>SUM(+F63+F70+F81+F96)</f>
        <v>58615502</v>
      </c>
      <c r="G97" s="367">
        <f>SUM(+G63+G70+G81+G96)</f>
        <v>0</v>
      </c>
      <c r="H97" s="361">
        <f>'Sources and Uses Budget'!T97</f>
        <v>67554151</v>
      </c>
      <c r="I97" s="367">
        <f>SUM(I63+I70+I81+I96)</f>
        <v>67554151</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17500000</v>
      </c>
      <c r="C99" s="362">
        <f>B99</f>
        <v>17500000</v>
      </c>
      <c r="D99" s="362"/>
      <c r="E99" s="361">
        <f>'Sources and Uses Budget'!S99</f>
        <v>7636740.5499999998</v>
      </c>
      <c r="F99" s="362">
        <f>E99</f>
        <v>7636740.5499999998</v>
      </c>
      <c r="G99" s="362"/>
      <c r="H99" s="361">
        <f>'Sources and Uses Budget'!T99</f>
        <v>9863259.4499999993</v>
      </c>
      <c r="I99" s="362">
        <f>H99</f>
        <v>9863259.4499999993</v>
      </c>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17500000</v>
      </c>
      <c r="C104" s="361">
        <f>SUM(C99:C103)</f>
        <v>17500000</v>
      </c>
      <c r="D104" s="361">
        <f>SUM(D99:D103)</f>
        <v>0</v>
      </c>
      <c r="E104" s="361">
        <f>'Sources and Uses Budget'!S104</f>
        <v>7636740.5499999998</v>
      </c>
      <c r="F104" s="367">
        <f>SUM(F99:F103)</f>
        <v>7636740.5499999998</v>
      </c>
      <c r="G104" s="367">
        <f>SUM(G99:G103)</f>
        <v>0</v>
      </c>
      <c r="H104" s="361">
        <f>'Sources and Uses Budget'!T104</f>
        <v>9863259.4499999993</v>
      </c>
      <c r="I104" s="367">
        <f>SUM(I99:I103)</f>
        <v>9863259.4499999993</v>
      </c>
      <c r="J104" s="367">
        <f>SUM(J99:J103)</f>
        <v>0</v>
      </c>
      <c r="K104" s="359"/>
    </row>
    <row r="105" spans="1:11" s="360" customFormat="1">
      <c r="A105" s="365" t="s">
        <v>1031</v>
      </c>
      <c r="B105" s="361">
        <f>'Sources and Uses Budget'!C105</f>
        <v>160300000</v>
      </c>
      <c r="C105" s="367">
        <f>SUM(C97+C104)</f>
        <v>160300000</v>
      </c>
      <c r="D105" s="367">
        <f>SUM(D97+D104)</f>
        <v>0</v>
      </c>
      <c r="E105" s="361">
        <f>'Sources and Uses Budget'!S105</f>
        <v>66252242.549999997</v>
      </c>
      <c r="F105" s="367">
        <f>F97+F104</f>
        <v>66252242.549999997</v>
      </c>
      <c r="G105" s="367">
        <f>G97+G104</f>
        <v>0</v>
      </c>
      <c r="H105" s="361">
        <f>'Sources and Uses Budget'!T105</f>
        <v>77417410.450000003</v>
      </c>
      <c r="I105" s="367">
        <f>I97+I104</f>
        <v>77417410.450000003</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66252242.549999997</v>
      </c>
      <c r="F107" s="367">
        <f>F105+F106</f>
        <v>66252242.549999997</v>
      </c>
      <c r="G107" s="367">
        <f>G105+G106</f>
        <v>0</v>
      </c>
      <c r="H107" s="361">
        <f>'Sources and Uses Budget'!T107</f>
        <v>77417410.450000003</v>
      </c>
      <c r="I107" s="367">
        <f>I105+I106</f>
        <v>77417410.450000003</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T130" sqref="T130"/>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4" t="s">
        <v>2459</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2458</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Santa Monica Christian Towers</v>
      </c>
      <c r="M4" s="1877"/>
      <c r="N4" s="1877"/>
      <c r="O4" s="1877"/>
      <c r="P4" s="1877"/>
      <c r="Q4" s="1877"/>
      <c r="R4" s="1877"/>
      <c r="S4" s="1877"/>
      <c r="T4" s="1877"/>
      <c r="U4" s="1877"/>
      <c r="V4" s="1877"/>
      <c r="W4" s="1877"/>
      <c r="X4" s="1877"/>
      <c r="Y4" s="1877"/>
      <c r="Z4" s="1877"/>
      <c r="AA4" s="1877"/>
      <c r="AB4" s="1877"/>
      <c r="AC4" s="1878"/>
      <c r="AD4" s="1190"/>
      <c r="AE4" s="1190"/>
      <c r="AF4" s="1890" t="s">
        <v>2457</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2456</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6" t="str">
        <f>IF(Application!H16="","",Application!H16)</f>
        <v>Santa Monica Towers LP</v>
      </c>
      <c r="M6" s="1877"/>
      <c r="N6" s="1877"/>
      <c r="O6" s="1877"/>
      <c r="P6" s="1877"/>
      <c r="Q6" s="1877"/>
      <c r="R6" s="1877"/>
      <c r="S6" s="1877"/>
      <c r="T6" s="1877"/>
      <c r="U6" s="1877"/>
      <c r="V6" s="1877"/>
      <c r="W6" s="1877"/>
      <c r="X6" s="1877"/>
      <c r="Y6" s="1877"/>
      <c r="Z6" s="1877"/>
      <c r="AA6" s="1877"/>
      <c r="AB6" s="1877"/>
      <c r="AC6" s="1878"/>
      <c r="AD6" s="1190"/>
      <c r="AE6" s="1190"/>
      <c r="AF6" s="1879" t="s">
        <v>2454</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2453</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2451</v>
      </c>
      <c r="AG8" s="1879"/>
      <c r="AH8" s="1879"/>
      <c r="AI8" s="1879"/>
      <c r="AJ8" s="1879"/>
      <c r="AK8" s="1879"/>
      <c r="AL8" s="1879"/>
      <c r="AM8" s="1879"/>
      <c r="AN8" s="1879"/>
      <c r="AO8" s="1879"/>
      <c r="AP8" s="1880" t="s">
        <v>2446</v>
      </c>
      <c r="AQ8" s="1880"/>
      <c r="AR8" s="1880"/>
      <c r="AS8" s="1880"/>
      <c r="AT8" s="1880"/>
      <c r="AU8" s="1880"/>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2450</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5">
        <f>Application!AO627</f>
        <v>25370000</v>
      </c>
      <c r="O10" s="1905"/>
      <c r="P10" s="1905"/>
      <c r="Q10" s="1905"/>
      <c r="R10" s="1905"/>
      <c r="S10" s="1905"/>
      <c r="T10" s="1905"/>
      <c r="U10" s="1190"/>
      <c r="V10" s="1190"/>
      <c r="W10" s="1190"/>
      <c r="X10" s="1193"/>
      <c r="Y10" s="1193"/>
      <c r="Z10" s="1193"/>
      <c r="AA10" s="1193"/>
      <c r="AB10" s="1193"/>
      <c r="AC10" s="1193"/>
      <c r="AD10" s="1193"/>
      <c r="AE10" s="1193"/>
      <c r="AF10" s="1890" t="s">
        <v>2447</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2444</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3" t="s">
        <v>2442</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2441</v>
      </c>
      <c r="AB13" s="1899"/>
      <c r="AC13" s="1899"/>
      <c r="AD13" s="1899"/>
      <c r="AE13" s="1899"/>
      <c r="AF13" s="1899"/>
      <c r="AG13" s="1899"/>
      <c r="AH13" s="1899"/>
      <c r="AI13" s="1899"/>
      <c r="AJ13" s="1899"/>
      <c r="AK13" s="1899"/>
      <c r="AL13" s="1899"/>
      <c r="AM13" s="1899"/>
      <c r="AN13" s="1899"/>
      <c r="AO13" s="1900">
        <f>Application!W473</f>
        <v>17</v>
      </c>
      <c r="AP13" s="1901"/>
      <c r="AQ13" s="1901"/>
      <c r="AR13" s="1901"/>
      <c r="AS13" s="1901"/>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2439</v>
      </c>
      <c r="AB14" s="1902"/>
      <c r="AC14" s="1902"/>
      <c r="AD14" s="1902"/>
      <c r="AE14" s="1902"/>
      <c r="AF14" s="1902"/>
      <c r="AG14" s="1902"/>
      <c r="AH14" s="1902"/>
      <c r="AI14" s="1902"/>
      <c r="AJ14" s="1902"/>
      <c r="AK14" s="1902"/>
      <c r="AL14" s="1902"/>
      <c r="AM14" s="1902"/>
      <c r="AN14" s="1902"/>
      <c r="AO14" s="1903">
        <v>45776</v>
      </c>
      <c r="AP14" s="1904"/>
      <c r="AQ14" s="1904"/>
      <c r="AR14" s="1904"/>
      <c r="AS14" s="1904"/>
      <c r="AT14" s="1193"/>
      <c r="AU14" s="1193"/>
      <c r="AV14" s="1193"/>
      <c r="AW14" s="1193"/>
      <c r="AX14" s="1193"/>
      <c r="AY14" s="1193"/>
      <c r="AZ14" s="1193"/>
      <c r="BA14" s="1193"/>
      <c r="BB14" s="1193"/>
      <c r="BC14" s="1193"/>
      <c r="BD14" s="1193"/>
      <c r="BE14" s="1194"/>
    </row>
    <row r="15" spans="1:65" thickBot="1">
      <c r="A15" s="1190"/>
      <c r="B15" s="1906" t="s">
        <v>2438</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2437</v>
      </c>
      <c r="AB15" s="1899"/>
      <c r="AC15" s="1899"/>
      <c r="AD15" s="1899"/>
      <c r="AE15" s="1899"/>
      <c r="AF15" s="1899"/>
      <c r="AG15" s="1899"/>
      <c r="AH15" s="1899"/>
      <c r="AI15" s="1899"/>
      <c r="AJ15" s="1899"/>
      <c r="AK15" s="1899"/>
      <c r="AL15" s="1899"/>
      <c r="AM15" s="1899"/>
      <c r="AN15" s="1899"/>
      <c r="AO15" s="1903">
        <v>45797</v>
      </c>
      <c r="AP15" s="1904"/>
      <c r="AQ15" s="1904"/>
      <c r="AR15" s="1904"/>
      <c r="AS15" s="190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1" t="s">
        <v>2436</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2435</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2434</v>
      </c>
      <c r="AU18" s="1918"/>
      <c r="AV18" s="1918"/>
      <c r="AW18" s="1918"/>
      <c r="AX18" s="1918"/>
      <c r="AY18" s="1920"/>
      <c r="AZ18" s="1190"/>
      <c r="BA18" s="1190"/>
      <c r="BB18" s="1190"/>
      <c r="BC18" s="1190"/>
      <c r="BD18" s="1190"/>
      <c r="BE18" s="1194"/>
    </row>
    <row r="19" spans="1:58" ht="15">
      <c r="A19" s="1190"/>
      <c r="B19" s="1921">
        <v>0.3</v>
      </c>
      <c r="C19" s="1922"/>
      <c r="D19" s="1922"/>
      <c r="E19" s="1922"/>
      <c r="F19" s="1922"/>
      <c r="G19" s="1922"/>
      <c r="H19" s="1922"/>
      <c r="I19" s="1923"/>
      <c r="J19" s="1924">
        <f t="shared" ref="J19:J24" si="0">SUM(P19:AS19)</f>
        <v>80</v>
      </c>
      <c r="K19" s="1925"/>
      <c r="L19" s="1925"/>
      <c r="M19" s="1925"/>
      <c r="N19" s="1925"/>
      <c r="O19" s="1926"/>
      <c r="P19" s="1924" cm="1">
        <f t="array" ref="P19">SUMPRODUCT((Application!$B$718:$B$752 = 'CalHFA Addendum'!P$18)*(Application!$AC$718:$AC$752 = 'CalHFA Addendum'!$B19),Application!$G$718:$G$752)</f>
        <v>56</v>
      </c>
      <c r="Q19" s="1925"/>
      <c r="R19" s="1925"/>
      <c r="S19" s="1925"/>
      <c r="T19" s="1925"/>
      <c r="U19" s="1926"/>
      <c r="V19" s="1924" cm="1">
        <f t="array" ref="V19">SUMPRODUCT((Application!$B$714:$B$738 = 'CalHFA Addendum'!V$18)*(Application!$AC$714:$AC$738 = 'CalHFA Addendum'!$B19),Application!$G$714:$G$738)</f>
        <v>22</v>
      </c>
      <c r="W19" s="1925"/>
      <c r="X19" s="1925"/>
      <c r="Y19" s="1925"/>
      <c r="Z19" s="1925"/>
      <c r="AA19" s="1926"/>
      <c r="AB19" s="1924" cm="1">
        <f t="array" ref="AB19">SUMPRODUCT((Application!$B$714:$B$738 = 'CalHFA Addendum'!AB$18)*(Application!$AC$714:$AC$738 = 'CalHFA Addendum'!$B19),Application!$G$714:$G$738)</f>
        <v>2</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0.49079754601226994</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10</v>
      </c>
      <c r="K20" s="1925"/>
      <c r="L20" s="1925"/>
      <c r="M20" s="1925"/>
      <c r="N20" s="1925"/>
      <c r="O20" s="1926"/>
      <c r="P20" s="1924" cm="1">
        <f t="array" ref="P20">SUMPRODUCT((Application!$B$718:$B$752 = 'CalHFA Addendum'!P$18)*(Application!$AC$718:$AC$752 = 'CalHFA Addendum'!$B20),Application!$G$718:$G$752)</f>
        <v>10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6.1349693251533742E-2</v>
      </c>
      <c r="AU20" s="1928"/>
      <c r="AV20" s="1928"/>
      <c r="AW20" s="1928"/>
      <c r="AX20" s="1928"/>
      <c r="AY20" s="1929"/>
      <c r="AZ20" s="1190"/>
      <c r="BA20" s="1190"/>
      <c r="BB20" s="1190"/>
      <c r="BC20" s="1190"/>
      <c r="BD20" s="1190"/>
      <c r="BE20" s="1194"/>
    </row>
    <row r="21" spans="1:58" ht="15">
      <c r="A21" s="1190"/>
      <c r="B21" s="1921">
        <v>0.5</v>
      </c>
      <c r="C21" s="1922"/>
      <c r="D21" s="1922"/>
      <c r="E21" s="1922"/>
      <c r="F21" s="1922"/>
      <c r="G21" s="1922"/>
      <c r="H21" s="1922"/>
      <c r="I21" s="1923"/>
      <c r="J21" s="1924">
        <f t="shared" si="0"/>
        <v>37</v>
      </c>
      <c r="K21" s="1925"/>
      <c r="L21" s="1925"/>
      <c r="M21" s="1925"/>
      <c r="N21" s="1925"/>
      <c r="O21" s="1926"/>
      <c r="P21" s="1924" cm="1">
        <f t="array" ref="P21">SUMPRODUCT((Application!$B$714:$B$738 = 'CalHFA Addendum'!P$18)*(Application!$AC$714:$AC$738 = 'CalHFA Addendum'!$B21),Application!$G$714:$G$738)</f>
        <v>15</v>
      </c>
      <c r="Q21" s="1925"/>
      <c r="R21" s="1925"/>
      <c r="S21" s="1925"/>
      <c r="T21" s="1925"/>
      <c r="U21" s="1926"/>
      <c r="V21" s="1924" cm="1">
        <f t="array" ref="V21">SUMPRODUCT((Application!$B$714:$B$738 = 'CalHFA Addendum'!V$18)*(Application!$AC$714:$AC$738 = 'CalHFA Addendum'!$B21),Application!$G$714:$G$738)</f>
        <v>16</v>
      </c>
      <c r="W21" s="1925"/>
      <c r="X21" s="1925"/>
      <c r="Y21" s="1925"/>
      <c r="Z21" s="1925"/>
      <c r="AA21" s="1926"/>
      <c r="AB21" s="1924" cm="1">
        <f t="array" ref="AB21">SUMPRODUCT((Application!$B$714:$B$738 = 'CalHFA Addendum'!AB$18)*(Application!$AC$714:$AC$738 = 'CalHFA Addendum'!$B21),Application!$G$714:$G$738)</f>
        <v>6</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0.22699386503067484</v>
      </c>
      <c r="AU21" s="1928"/>
      <c r="AV21" s="1928"/>
      <c r="AW21" s="1928"/>
      <c r="AX21" s="1928"/>
      <c r="AY21" s="1929"/>
      <c r="AZ21" s="1190"/>
      <c r="BA21" s="1190"/>
      <c r="BB21" s="1190"/>
      <c r="BC21" s="1190"/>
      <c r="BD21" s="1190"/>
      <c r="BE21" s="1194"/>
    </row>
    <row r="22" spans="1:58" ht="15">
      <c r="A22" s="1190"/>
      <c r="B22" s="1921">
        <v>0.6</v>
      </c>
      <c r="C22" s="1922"/>
      <c r="D22" s="1922"/>
      <c r="E22" s="1922"/>
      <c r="F22" s="1922"/>
      <c r="G22" s="1922"/>
      <c r="H22" s="1922"/>
      <c r="I22" s="1923"/>
      <c r="J22" s="1924">
        <f t="shared" si="0"/>
        <v>27</v>
      </c>
      <c r="K22" s="1925"/>
      <c r="L22" s="1925"/>
      <c r="M22" s="1925"/>
      <c r="N22" s="1925"/>
      <c r="O22" s="1926"/>
      <c r="P22" s="1924" cm="1">
        <f t="array" ref="P22">SUMPRODUCT((Application!$B$714:$B$738 = 'CalHFA Addendum'!P$18)*(Application!$AC$714:$AC$738 = 'CalHFA Addendum'!$B22),Application!$G$714:$G$738)</f>
        <v>21</v>
      </c>
      <c r="Q22" s="1925"/>
      <c r="R22" s="1925"/>
      <c r="S22" s="1925"/>
      <c r="T22" s="1925"/>
      <c r="U22" s="1926"/>
      <c r="V22" s="1924" cm="1">
        <f t="array" ref="V22">SUMPRODUCT((Application!$B$714:$B$738 = 'CalHFA Addendum'!V$18)*(Application!$AC$714:$AC$738 = 'CalHFA Addendum'!$B22),Application!$G$714:$G$738)</f>
        <v>4</v>
      </c>
      <c r="W22" s="1925"/>
      <c r="X22" s="1925"/>
      <c r="Y22" s="1925"/>
      <c r="Z22" s="1925"/>
      <c r="AA22" s="1926"/>
      <c r="AB22" s="1924" cm="1">
        <f t="array" ref="AB22">SUMPRODUCT((Application!$B$714:$B$738 = 'CalHFA Addendum'!AB$18)*(Application!$AC$714:$AC$738 = 'CalHFA Addendum'!$B22),Application!$G$714:$G$738)</f>
        <v>2</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0.16564417177914109</v>
      </c>
      <c r="AU22" s="1928"/>
      <c r="AV22" s="1928"/>
      <c r="AW22" s="1928"/>
      <c r="AX22" s="1928"/>
      <c r="AY22" s="1929"/>
      <c r="AZ22" s="1190"/>
      <c r="BA22" s="1190"/>
      <c r="BB22" s="1190"/>
      <c r="BC22" s="1190"/>
      <c r="BD22" s="1190"/>
      <c r="BE22" s="1194"/>
    </row>
    <row r="23" spans="1:58" ht="15">
      <c r="A23" s="1190"/>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0"/>
      <c r="BA23" s="1190"/>
      <c r="BB23" s="1190"/>
      <c r="BC23" s="1190"/>
      <c r="BD23" s="1190"/>
      <c r="BE23" s="1194"/>
    </row>
    <row r="24" spans="1:58" ht="15">
      <c r="A24" s="1190"/>
      <c r="B24" s="1921">
        <v>0.8</v>
      </c>
      <c r="C24" s="1922"/>
      <c r="D24" s="1922"/>
      <c r="E24" s="1922"/>
      <c r="F24" s="1922"/>
      <c r="G24" s="1922"/>
      <c r="H24" s="1922"/>
      <c r="I24" s="1923"/>
      <c r="J24" s="1924">
        <f t="shared" si="0"/>
        <v>7</v>
      </c>
      <c r="K24" s="1925"/>
      <c r="L24" s="1925"/>
      <c r="M24" s="1925"/>
      <c r="N24" s="1925"/>
      <c r="O24" s="1926"/>
      <c r="P24" s="1924" cm="1">
        <f t="array" ref="P24">SUMPRODUCT((Application!$B$714:$B$738 = 'CalHFA Addendum'!P$18)*(Application!$AC$714:$AC$738 = 'CalHFA Addendum'!$B24),Application!$G$714:$G$738)</f>
        <v>5</v>
      </c>
      <c r="Q24" s="1925"/>
      <c r="R24" s="1925"/>
      <c r="S24" s="1925"/>
      <c r="T24" s="1925"/>
      <c r="U24" s="1926"/>
      <c r="V24" s="1924" cm="1">
        <f t="array" ref="V24">SUMPRODUCT((Application!$B$714:$B$738 = 'CalHFA Addendum'!V$18)*(Application!$AC$714:$AC$738 = 'CalHFA Addendum'!$B24),Application!$G$714:$G$738)</f>
        <v>2</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4.2944785276073622E-2</v>
      </c>
      <c r="AU24" s="1928"/>
      <c r="AV24" s="1928"/>
      <c r="AW24" s="1928"/>
      <c r="AX24" s="1928"/>
      <c r="AY24" s="1929"/>
      <c r="AZ24" s="1190"/>
      <c r="BA24" s="1190"/>
      <c r="BB24" s="1190"/>
      <c r="BC24" s="1190"/>
      <c r="BD24" s="1190"/>
      <c r="BE24" s="1194"/>
    </row>
    <row r="25" spans="1:58" ht="15">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5">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5">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thickBot="1">
      <c r="A28" s="1190"/>
      <c r="B28" s="1933" t="s">
        <v>2433</v>
      </c>
      <c r="C28" s="1934"/>
      <c r="D28" s="1934"/>
      <c r="E28" s="1934"/>
      <c r="F28" s="1934"/>
      <c r="G28" s="1934"/>
      <c r="H28" s="1934"/>
      <c r="I28" s="1935"/>
      <c r="J28" s="1936">
        <f>SUM(P28:AS28)</f>
        <v>2</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2</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1.2269938650306749E-2</v>
      </c>
      <c r="AU28" s="1940"/>
      <c r="AV28" s="1940"/>
      <c r="AW28" s="1940"/>
      <c r="AX28" s="1940"/>
      <c r="AY28" s="1941"/>
      <c r="AZ28" s="1190"/>
      <c r="BA28" s="1190"/>
      <c r="BB28" s="1190"/>
      <c r="BC28" s="1190"/>
      <c r="BD28" s="1190"/>
      <c r="BE28" s="1194"/>
    </row>
    <row r="29" spans="1:58" thickBot="1">
      <c r="A29" s="1190"/>
      <c r="B29" s="1970" t="s">
        <v>1587</v>
      </c>
      <c r="C29" s="1943"/>
      <c r="D29" s="1943"/>
      <c r="E29" s="1943"/>
      <c r="F29" s="1943"/>
      <c r="G29" s="1943"/>
      <c r="H29" s="1943"/>
      <c r="I29" s="1944"/>
      <c r="J29" s="1942">
        <f>SUM(J19:O28)</f>
        <v>163</v>
      </c>
      <c r="K29" s="1943"/>
      <c r="L29" s="1943"/>
      <c r="M29" s="1943"/>
      <c r="N29" s="1943"/>
      <c r="O29" s="1944"/>
      <c r="P29" s="1942">
        <f>SUM(P19:U28)</f>
        <v>107</v>
      </c>
      <c r="Q29" s="1943"/>
      <c r="R29" s="1943"/>
      <c r="S29" s="1943"/>
      <c r="T29" s="1943"/>
      <c r="U29" s="1944"/>
      <c r="V29" s="1942">
        <f>SUM(V19:AA28)</f>
        <v>44</v>
      </c>
      <c r="W29" s="1943"/>
      <c r="X29" s="1943"/>
      <c r="Y29" s="1943"/>
      <c r="Z29" s="1943"/>
      <c r="AA29" s="1944"/>
      <c r="AB29" s="1942">
        <f>SUM(AB19:AG28)</f>
        <v>12</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8" t="s">
        <v>2432</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thickBot="1">
      <c r="A32" s="1190"/>
      <c r="B32" s="1951" t="s">
        <v>2431</v>
      </c>
      <c r="C32" s="1952"/>
      <c r="D32" s="1952"/>
      <c r="E32" s="1952"/>
      <c r="F32" s="1952"/>
      <c r="G32" s="1952"/>
      <c r="H32" s="1952"/>
      <c r="I32" s="1952"/>
      <c r="J32" s="1955" t="s">
        <v>2430</v>
      </c>
      <c r="K32" s="1956"/>
      <c r="L32" s="1956"/>
      <c r="M32" s="1956"/>
      <c r="N32" s="1955" t="s">
        <v>2429</v>
      </c>
      <c r="O32" s="1956"/>
      <c r="P32" s="1956"/>
      <c r="Q32" s="1958"/>
      <c r="R32" s="1960" t="s">
        <v>2428</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2427</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2426</v>
      </c>
      <c r="AT35" s="1972"/>
      <c r="AU35" s="1972"/>
      <c r="AV35" s="1972"/>
      <c r="AW35" s="1972"/>
      <c r="AX35" s="1980"/>
      <c r="AY35" s="1971" t="s">
        <v>2425</v>
      </c>
      <c r="AZ35" s="1972"/>
      <c r="BA35" s="1972"/>
      <c r="BB35" s="1972"/>
      <c r="BC35" s="1972"/>
      <c r="BD35" s="1973"/>
      <c r="BE35" s="1194"/>
    </row>
    <row r="36" spans="1:58" ht="15.75" customHeight="1">
      <c r="A36" s="1190"/>
      <c r="B36" s="1990" t="s">
        <v>2424</v>
      </c>
      <c r="C36" s="1991"/>
      <c r="D36" s="1991"/>
      <c r="E36" s="1991"/>
      <c r="F36" s="1991"/>
      <c r="G36" s="1991"/>
      <c r="H36" s="1991"/>
      <c r="I36" s="1991"/>
      <c r="J36" s="1992" t="s">
        <v>2423</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2422</v>
      </c>
      <c r="C37" s="1991"/>
      <c r="D37" s="1991"/>
      <c r="E37" s="1991"/>
      <c r="F37" s="1991"/>
      <c r="G37" s="1991"/>
      <c r="H37" s="1991"/>
      <c r="I37" s="1991"/>
      <c r="J37" s="1992" t="s">
        <v>2421</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2420</v>
      </c>
      <c r="C38" s="1991"/>
      <c r="D38" s="1991"/>
      <c r="E38" s="1991"/>
      <c r="F38" s="1991"/>
      <c r="G38" s="1991"/>
      <c r="H38" s="1991"/>
      <c r="I38" s="1991"/>
      <c r="J38" s="1992" t="s">
        <v>2419</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2418</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2418</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2417</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2417</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2416</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2415</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2414</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2338</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2411</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2404</v>
      </c>
      <c r="C51" s="2010"/>
      <c r="D51" s="2010"/>
      <c r="E51" s="2010"/>
      <c r="F51" s="2010"/>
      <c r="G51" s="2010"/>
      <c r="H51" s="2010"/>
      <c r="I51" s="2010"/>
      <c r="J51" s="2010" t="s">
        <v>2410</v>
      </c>
      <c r="K51" s="2010"/>
      <c r="L51" s="2010"/>
      <c r="M51" s="2010"/>
      <c r="N51" s="2010"/>
      <c r="O51" s="2010"/>
      <c r="P51" s="2010"/>
      <c r="Q51" s="2010"/>
      <c r="R51" s="2011" t="s">
        <v>2409</v>
      </c>
      <c r="S51" s="2011"/>
      <c r="T51" s="2011"/>
      <c r="U51" s="2011"/>
      <c r="V51" s="2011"/>
      <c r="W51" s="2011"/>
      <c r="X51" s="2011"/>
      <c r="Y51" s="2011"/>
      <c r="Z51" s="2011" t="s">
        <v>2408</v>
      </c>
      <c r="AA51" s="2011"/>
      <c r="AB51" s="2011"/>
      <c r="AC51" s="2011"/>
      <c r="AD51" s="2011"/>
      <c r="AE51" s="2011"/>
      <c r="AF51" s="2011"/>
      <c r="AG51" s="2011"/>
      <c r="AH51" s="2011" t="s">
        <v>2407</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2406</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2405</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2404</v>
      </c>
      <c r="C59" s="2019"/>
      <c r="D59" s="2019"/>
      <c r="E59" s="2019"/>
      <c r="F59" s="2019"/>
      <c r="G59" s="2019"/>
      <c r="H59" s="2019"/>
      <c r="I59" s="2020"/>
      <c r="J59" s="1912" t="s">
        <v>2403</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2401</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2400</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2399</v>
      </c>
    </row>
    <row r="69" spans="1:94" ht="15.75" customHeight="1" thickTop="1" thickBot="1">
      <c r="A69" s="1190"/>
      <c r="B69" s="2036" t="s">
        <v>2398</v>
      </c>
      <c r="C69" s="2037"/>
      <c r="D69" s="2037"/>
      <c r="E69" s="2037"/>
      <c r="F69" s="2037"/>
      <c r="G69" s="2037"/>
      <c r="H69" s="2037"/>
      <c r="I69" s="2037"/>
      <c r="J69" s="2037"/>
      <c r="K69" s="2037"/>
      <c r="L69" s="2037"/>
      <c r="M69" s="2037"/>
      <c r="N69" s="2037"/>
      <c r="O69" s="2038" t="s">
        <v>2397</v>
      </c>
      <c r="P69" s="2039"/>
      <c r="Q69" s="2039"/>
      <c r="R69" s="2039"/>
      <c r="S69" s="2039"/>
      <c r="T69" s="2039"/>
      <c r="U69" s="2039"/>
      <c r="V69" s="2039"/>
      <c r="W69" s="2039"/>
      <c r="X69" s="2039"/>
      <c r="Y69" s="2039"/>
      <c r="Z69" s="2039"/>
      <c r="AA69" s="2040"/>
      <c r="AB69" s="1190"/>
      <c r="AC69" s="2041" t="s">
        <v>2396</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2395</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2394</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2393</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2392</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2391</v>
      </c>
    </row>
    <row r="72" spans="1:94" ht="15.75" customHeight="1">
      <c r="A72" s="1190"/>
      <c r="B72" s="1990" t="s">
        <v>2390</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2389</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2388</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2333</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2386</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2385</v>
      </c>
      <c r="C81" s="2066"/>
      <c r="D81" s="2066"/>
      <c r="E81" s="2066"/>
      <c r="F81" s="2066"/>
      <c r="G81" s="2066"/>
      <c r="H81" s="2066"/>
      <c r="I81" s="2066"/>
      <c r="J81" s="2066"/>
      <c r="K81" s="2066"/>
      <c r="L81" s="2066"/>
      <c r="M81" s="2066"/>
      <c r="N81" s="2066"/>
      <c r="O81" s="2066"/>
      <c r="P81" s="2066"/>
      <c r="Q81" s="2066"/>
      <c r="R81" s="2067" t="s">
        <v>2190</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2384</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2383</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2373</v>
      </c>
      <c r="J84" s="2010"/>
      <c r="K84" s="2010"/>
      <c r="L84" s="2010"/>
      <c r="M84" s="2010"/>
      <c r="N84" s="2010"/>
      <c r="O84" s="2010" t="s">
        <v>2349</v>
      </c>
      <c r="P84" s="2010"/>
      <c r="Q84" s="2010"/>
      <c r="R84" s="2010"/>
      <c r="S84" s="2010"/>
      <c r="T84" s="2010"/>
      <c r="U84" s="2010"/>
      <c r="V84" s="2096" t="s">
        <v>2348</v>
      </c>
      <c r="W84" s="2096"/>
      <c r="X84" s="2096"/>
      <c r="Y84" s="2096"/>
      <c r="Z84" s="2096"/>
      <c r="AA84" s="2096"/>
      <c r="AB84" s="2097" t="s">
        <v>2372</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2371</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2370</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2377</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2369</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2381</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2380</v>
      </c>
      <c r="C94" s="2066"/>
      <c r="D94" s="2066"/>
      <c r="E94" s="2066"/>
      <c r="F94" s="2066"/>
      <c r="G94" s="2066"/>
      <c r="H94" s="2066"/>
      <c r="I94" s="2066"/>
      <c r="J94" s="2066"/>
      <c r="K94" s="2066"/>
      <c r="L94" s="2066"/>
      <c r="M94" s="2066"/>
      <c r="N94" s="2066"/>
      <c r="O94" s="2066"/>
      <c r="P94" s="2066"/>
      <c r="Q94" s="2100"/>
      <c r="R94" s="2067" t="s">
        <v>2190</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2379</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2378</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SMT TSA Housing LLC (TSA Housing, Inc.)</v>
      </c>
      <c r="BR96" s="1259">
        <f>Application!AH246</f>
        <v>5.0000000000000001E-3</v>
      </c>
      <c r="CM96" s="1188"/>
      <c r="CN96" s="1188"/>
      <c r="CO96" s="1188"/>
      <c r="CP96" s="1188"/>
    </row>
    <row r="97" spans="1:94" ht="15.75" customHeight="1">
      <c r="A97" s="1190"/>
      <c r="B97" s="2009"/>
      <c r="C97" s="2010"/>
      <c r="D97" s="2010"/>
      <c r="E97" s="2010"/>
      <c r="F97" s="2010"/>
      <c r="G97" s="2010"/>
      <c r="H97" s="2010"/>
      <c r="I97" s="2010" t="s">
        <v>2373</v>
      </c>
      <c r="J97" s="2010"/>
      <c r="K97" s="2010"/>
      <c r="L97" s="2010"/>
      <c r="M97" s="2010"/>
      <c r="N97" s="2010"/>
      <c r="O97" s="2010" t="s">
        <v>2349</v>
      </c>
      <c r="P97" s="2010"/>
      <c r="Q97" s="2010"/>
      <c r="R97" s="2010"/>
      <c r="S97" s="2010"/>
      <c r="T97" s="2010"/>
      <c r="U97" s="2010"/>
      <c r="V97" s="2096" t="s">
        <v>2348</v>
      </c>
      <c r="W97" s="2096"/>
      <c r="X97" s="2096"/>
      <c r="Y97" s="2096"/>
      <c r="Z97" s="2096"/>
      <c r="AA97" s="2096"/>
      <c r="AB97" s="2097" t="s">
        <v>2372</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RCC MGP LLC (Riverside Charitable Corporation (RCC)																		)</v>
      </c>
      <c r="BR97" s="1259">
        <f>Application!AH254</f>
        <v>9.9999999999999995E-7</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To-Be-Formed Co-General Partner LLC (The Santa Monica Christian Towers, Inc.)</v>
      </c>
      <c r="BR98" s="1259">
        <f>Application!AH262</f>
        <v>4.8999999999999998E-5</v>
      </c>
      <c r="CM98" s="1188"/>
      <c r="CN98" s="1188"/>
      <c r="CO98" s="1188"/>
      <c r="CP98" s="1188"/>
    </row>
    <row r="99" spans="1:94" ht="15.75" customHeight="1">
      <c r="A99" s="1190"/>
      <c r="B99" s="2009" t="s">
        <v>2371</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2370</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2377</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2369</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Thomas Safran &amp; Associates,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Falkenberg/Gilliam &amp; Associates</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2374</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2373</v>
      </c>
      <c r="J108" s="2010"/>
      <c r="K108" s="2010"/>
      <c r="L108" s="2010"/>
      <c r="M108" s="2010"/>
      <c r="N108" s="2010"/>
      <c r="O108" s="2010" t="s">
        <v>2349</v>
      </c>
      <c r="P108" s="2010"/>
      <c r="Q108" s="2010"/>
      <c r="R108" s="2010"/>
      <c r="S108" s="2010"/>
      <c r="T108" s="2010"/>
      <c r="U108" s="2010"/>
      <c r="V108" s="2096" t="s">
        <v>2348</v>
      </c>
      <c r="W108" s="2096"/>
      <c r="X108" s="2096"/>
      <c r="Y108" s="2096"/>
      <c r="Z108" s="2096"/>
      <c r="AA108" s="2096"/>
      <c r="AB108" s="2097" t="s">
        <v>2372</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2371</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2370</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2369</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2367</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2367</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2365</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2364</v>
      </c>
      <c r="J127" s="2010"/>
      <c r="K127" s="2010"/>
      <c r="L127" s="2010"/>
      <c r="M127" s="2010"/>
      <c r="N127" s="2010"/>
      <c r="O127" s="2107" t="s">
        <v>2363</v>
      </c>
      <c r="P127" s="2107"/>
      <c r="Q127" s="2107"/>
      <c r="R127" s="2107"/>
      <c r="S127" s="2107"/>
      <c r="T127" s="2107"/>
      <c r="U127" s="2108"/>
      <c r="V127" s="1190"/>
      <c r="W127" s="1190"/>
      <c r="X127" s="2075" t="s">
        <v>2333</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2347</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2346</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2361</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2349</v>
      </c>
      <c r="J134" s="2153"/>
      <c r="K134" s="2153"/>
      <c r="L134" s="2153"/>
      <c r="M134" s="2153"/>
      <c r="N134" s="2153"/>
      <c r="O134" s="2153"/>
      <c r="P134" s="2153" t="s">
        <v>2348</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2347</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2346</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2360</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2359</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2358</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2357</v>
      </c>
      <c r="C142" s="2140"/>
      <c r="D142" s="2140"/>
      <c r="E142" s="2140"/>
      <c r="F142" s="2140"/>
      <c r="G142" s="2140"/>
      <c r="H142" s="2140"/>
      <c r="I142" s="2140"/>
      <c r="J142" s="2140"/>
      <c r="K142" s="2140"/>
      <c r="L142" s="2140"/>
      <c r="M142" s="2140"/>
      <c r="N142" s="2140"/>
      <c r="O142" s="2140"/>
      <c r="P142" s="2140"/>
      <c r="Q142" s="2140"/>
      <c r="R142" s="2141" t="s">
        <v>2356</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2355</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2352</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2351</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2349</v>
      </c>
      <c r="J157" s="2153"/>
      <c r="K157" s="2153"/>
      <c r="L157" s="2153"/>
      <c r="M157" s="2153"/>
      <c r="N157" s="2153"/>
      <c r="O157" s="2153"/>
      <c r="P157" s="2153" t="s">
        <v>2350</v>
      </c>
      <c r="Q157" s="2153"/>
      <c r="R157" s="2153"/>
      <c r="S157" s="2153"/>
      <c r="T157" s="2153"/>
      <c r="U157" s="2154"/>
      <c r="V157" s="1190"/>
      <c r="W157" s="1190"/>
      <c r="X157" s="2151"/>
      <c r="Y157" s="2152"/>
      <c r="Z157" s="2152"/>
      <c r="AA157" s="2152"/>
      <c r="AB157" s="2152"/>
      <c r="AC157" s="2152"/>
      <c r="AD157" s="2152"/>
      <c r="AE157" s="2153" t="s">
        <v>2349</v>
      </c>
      <c r="AF157" s="2153"/>
      <c r="AG157" s="2153"/>
      <c r="AH157" s="2153"/>
      <c r="AI157" s="2153"/>
      <c r="AJ157" s="2153"/>
      <c r="AK157" s="2153"/>
      <c r="AL157" s="2153" t="s">
        <v>2348</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2347</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2347</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2346</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2345</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2330</v>
      </c>
      <c r="D163" s="2152"/>
      <c r="E163" s="2152"/>
      <c r="F163" s="2152"/>
      <c r="G163" s="2152"/>
      <c r="H163" s="2152"/>
      <c r="I163" s="2152"/>
      <c r="J163" s="2152"/>
      <c r="K163" s="2152"/>
      <c r="L163" s="2152"/>
      <c r="M163" s="2152"/>
      <c r="N163" s="2152"/>
      <c r="O163" s="2152"/>
      <c r="P163" s="2152"/>
      <c r="Q163" s="2152" t="s">
        <v>2344</v>
      </c>
      <c r="R163" s="2152"/>
      <c r="S163" s="2152"/>
      <c r="T163" s="2097" t="s">
        <v>2343</v>
      </c>
      <c r="U163" s="2097"/>
      <c r="V163" s="2097"/>
      <c r="W163" s="2097"/>
      <c r="X163" s="2097"/>
      <c r="Y163" s="2097"/>
      <c r="Z163" s="2097"/>
      <c r="AA163" s="2097"/>
      <c r="AB163" s="2152" t="s">
        <v>2342</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2341</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2340</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2339</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2338</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2319</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2319</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2319</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2337</v>
      </c>
      <c r="D172" s="2056"/>
      <c r="E172" s="2056"/>
      <c r="F172" s="2056"/>
      <c r="G172" s="2056"/>
      <c r="H172" s="2056"/>
      <c r="I172" s="2056"/>
      <c r="J172" s="2056"/>
      <c r="K172" s="2056"/>
      <c r="L172" s="2056"/>
      <c r="M172" s="2056"/>
      <c r="N172" s="2106"/>
      <c r="O172" s="1190"/>
      <c r="P172" s="2171" t="s">
        <v>2336</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2335</v>
      </c>
      <c r="D173" s="2152"/>
      <c r="E173" s="2152"/>
      <c r="F173" s="2152"/>
      <c r="G173" s="2152"/>
      <c r="H173" s="2152"/>
      <c r="I173" s="2152" t="s">
        <v>2334</v>
      </c>
      <c r="J173" s="2152"/>
      <c r="K173" s="2152"/>
      <c r="L173" s="2152"/>
      <c r="M173" s="2152"/>
      <c r="N173" s="2160"/>
      <c r="O173" s="1190"/>
      <c r="P173" s="2075" t="s">
        <v>2333</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2332</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2330</v>
      </c>
      <c r="D184" s="2056"/>
      <c r="E184" s="2056"/>
      <c r="F184" s="2056"/>
      <c r="G184" s="2056"/>
      <c r="H184" s="2056"/>
      <c r="I184" s="2056"/>
      <c r="J184" s="2056"/>
      <c r="K184" s="2056"/>
      <c r="L184" s="2056"/>
      <c r="M184" s="2056"/>
      <c r="N184" s="2056" t="s">
        <v>2331</v>
      </c>
      <c r="O184" s="2056"/>
      <c r="P184" s="2056"/>
      <c r="Q184" s="2056"/>
      <c r="R184" s="2056"/>
      <c r="S184" s="2056"/>
      <c r="T184" s="2056"/>
      <c r="U184" s="2007" t="s">
        <v>2330</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2329</v>
      </c>
      <c r="D185" s="2180"/>
      <c r="E185" s="2180"/>
      <c r="F185" s="2180"/>
      <c r="G185" s="2180"/>
      <c r="H185" s="2180"/>
      <c r="I185" s="2180"/>
      <c r="J185" s="2180"/>
      <c r="K185" s="2180"/>
      <c r="L185" s="2180"/>
      <c r="M185" s="2180"/>
      <c r="N185" s="2181">
        <f>'Sources and Uses Budget'!B105</f>
        <v>160300000</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2328</v>
      </c>
      <c r="D186" s="2180"/>
      <c r="E186" s="2180"/>
      <c r="F186" s="2180"/>
      <c r="G186" s="2180"/>
      <c r="H186" s="2180"/>
      <c r="I186" s="2180"/>
      <c r="J186" s="2180"/>
      <c r="K186" s="2180"/>
      <c r="L186" s="2180"/>
      <c r="M186" s="2180"/>
      <c r="N186" s="2181">
        <f>N185/J29</f>
        <v>983435.58282208594</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2327</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2326</v>
      </c>
      <c r="D188" s="2180"/>
      <c r="E188" s="2180"/>
      <c r="F188" s="2180"/>
      <c r="G188" s="2180"/>
      <c r="H188" s="2180"/>
      <c r="I188" s="2180"/>
      <c r="J188" s="2180"/>
      <c r="K188" s="2180"/>
      <c r="L188" s="2180"/>
      <c r="M188" s="2180"/>
      <c r="N188" s="2197">
        <f>SUM('Sources and Uses Budget'!B85:B86)</f>
        <v>450000</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2325</v>
      </c>
      <c r="D189" s="2180"/>
      <c r="E189" s="2180"/>
      <c r="F189" s="2180"/>
      <c r="G189" s="2180"/>
      <c r="H189" s="2180"/>
      <c r="I189" s="2180"/>
      <c r="J189" s="2180"/>
      <c r="K189" s="2180"/>
      <c r="L189" s="2180"/>
      <c r="M189" s="2180"/>
      <c r="N189" s="2197">
        <f>'Sources and Uses Budget'!B8</f>
        <v>7445849</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2323</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2324</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2323</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2322</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2321</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2319</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2320</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2319</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2319</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2318</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2317</v>
      </c>
      <c r="D195" s="2219"/>
      <c r="E195" s="2219"/>
      <c r="F195" s="2219"/>
      <c r="G195" s="2219"/>
      <c r="H195" s="2219"/>
      <c r="I195" s="2219"/>
      <c r="J195" s="2219"/>
      <c r="K195" s="2219"/>
      <c r="L195" s="2219"/>
      <c r="M195" s="2219"/>
      <c r="N195" s="2220">
        <f>SUM(N187:T194)</f>
        <v>7895849</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2316</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2315</v>
      </c>
      <c r="D196" s="2229"/>
      <c r="E196" s="2229"/>
      <c r="F196" s="2229"/>
      <c r="G196" s="2229"/>
      <c r="H196" s="2229"/>
      <c r="I196" s="2229"/>
      <c r="J196" s="2229"/>
      <c r="K196" s="2229"/>
      <c r="L196" s="2229"/>
      <c r="M196" s="2229"/>
      <c r="N196" s="2230">
        <f>(N185-N195)/J29</f>
        <v>934994.79141104291</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2314</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2313</v>
      </c>
      <c r="D200" s="2255"/>
      <c r="E200" s="2255"/>
      <c r="F200" s="2255"/>
      <c r="G200" s="2255"/>
      <c r="H200" s="2255"/>
      <c r="I200" s="2255"/>
      <c r="J200" s="2255"/>
      <c r="K200" s="2255"/>
      <c r="L200" s="2255"/>
      <c r="M200" s="2255"/>
      <c r="N200" s="2255"/>
      <c r="O200" s="2256" t="s">
        <v>2312</v>
      </c>
      <c r="P200" s="2256"/>
      <c r="Q200" s="2256"/>
      <c r="R200" s="2256"/>
      <c r="S200" s="2256"/>
      <c r="T200" s="2256"/>
      <c r="U200" s="2256"/>
      <c r="V200" s="2256"/>
      <c r="W200" s="2256"/>
      <c r="X200" s="2256" t="s">
        <v>2311</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2310</v>
      </c>
      <c r="D201" s="2247"/>
      <c r="E201" s="2247"/>
      <c r="F201" s="2247"/>
      <c r="G201" s="2247"/>
      <c r="H201" s="2247"/>
      <c r="I201" s="2247"/>
      <c r="J201" s="2247"/>
      <c r="K201" s="2247"/>
      <c r="L201" s="2247"/>
      <c r="M201" s="2247"/>
      <c r="N201" s="2247"/>
      <c r="O201" s="2248" t="s">
        <v>2309</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2309</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2308</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2307</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2306</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2305</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2304</v>
      </c>
      <c r="D207" s="2262"/>
      <c r="E207" s="2262"/>
      <c r="F207" s="2263"/>
      <c r="G207" s="2267" t="s">
        <v>2303</v>
      </c>
      <c r="H207" s="2262"/>
      <c r="I207" s="2262"/>
      <c r="J207" s="2262"/>
      <c r="K207" s="2262"/>
      <c r="L207" s="2262"/>
      <c r="M207" s="2262"/>
      <c r="N207" s="2262"/>
      <c r="O207" s="2263"/>
      <c r="P207" s="2269" t="s">
        <v>2302</v>
      </c>
      <c r="Q207" s="2270"/>
      <c r="R207" s="2270"/>
      <c r="S207" s="2270"/>
      <c r="T207" s="2271"/>
      <c r="U207" s="2275" t="s">
        <v>2301</v>
      </c>
      <c r="V207" s="2276"/>
      <c r="W207" s="2276"/>
      <c r="X207" s="2277"/>
      <c r="Y207" s="2275" t="s">
        <v>2300</v>
      </c>
      <c r="Z207" s="2276"/>
      <c r="AA207" s="2276"/>
      <c r="AB207" s="2277"/>
      <c r="AC207" s="2275" t="s">
        <v>2299</v>
      </c>
      <c r="AD207" s="2276"/>
      <c r="AE207" s="2276"/>
      <c r="AF207" s="2277"/>
      <c r="AG207" s="2267" t="s">
        <v>2298</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1886</v>
      </c>
      <c r="H209" s="2288"/>
      <c r="I209" s="2288"/>
      <c r="J209" s="2288"/>
      <c r="K209" s="2288"/>
      <c r="L209" s="2288"/>
      <c r="M209" s="2288"/>
      <c r="N209" s="2288"/>
      <c r="O209" s="2288"/>
      <c r="P209" s="2289"/>
      <c r="Q209" s="2292"/>
      <c r="R209" s="2292"/>
      <c r="S209" s="2292"/>
      <c r="T209" s="2292"/>
      <c r="U209" s="2290" t="s">
        <v>1886</v>
      </c>
      <c r="V209" s="2290"/>
      <c r="W209" s="2290"/>
      <c r="X209" s="2290"/>
      <c r="Y209" s="2290" t="s">
        <v>1886</v>
      </c>
      <c r="Z209" s="2290"/>
      <c r="AA209" s="2290"/>
      <c r="AB209" s="2290"/>
      <c r="AC209" s="2291" t="s">
        <v>1886</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1886</v>
      </c>
      <c r="H210" s="2288"/>
      <c r="I210" s="2288"/>
      <c r="J210" s="2288"/>
      <c r="K210" s="2288"/>
      <c r="L210" s="2288"/>
      <c r="M210" s="2288"/>
      <c r="N210" s="2288"/>
      <c r="O210" s="2288"/>
      <c r="P210" s="2289"/>
      <c r="Q210" s="2289"/>
      <c r="R210" s="2289"/>
      <c r="S210" s="2289"/>
      <c r="T210" s="2289"/>
      <c r="U210" s="2290" t="s">
        <v>1886</v>
      </c>
      <c r="V210" s="2290"/>
      <c r="W210" s="2290"/>
      <c r="X210" s="2290"/>
      <c r="Y210" s="2290" t="s">
        <v>1886</v>
      </c>
      <c r="Z210" s="2290"/>
      <c r="AA210" s="2290"/>
      <c r="AB210" s="2290"/>
      <c r="AC210" s="2291" t="s">
        <v>1886</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1886</v>
      </c>
      <c r="H211" s="2288"/>
      <c r="I211" s="2288"/>
      <c r="J211" s="2288"/>
      <c r="K211" s="2288"/>
      <c r="L211" s="2288"/>
      <c r="M211" s="2288"/>
      <c r="N211" s="2288"/>
      <c r="O211" s="2288"/>
      <c r="P211" s="2289"/>
      <c r="Q211" s="2289"/>
      <c r="R211" s="2289"/>
      <c r="S211" s="2289"/>
      <c r="T211" s="2289"/>
      <c r="U211" s="2290" t="s">
        <v>1886</v>
      </c>
      <c r="V211" s="2290"/>
      <c r="W211" s="2290"/>
      <c r="X211" s="2290"/>
      <c r="Y211" s="2290" t="s">
        <v>1886</v>
      </c>
      <c r="Z211" s="2290"/>
      <c r="AA211" s="2290"/>
      <c r="AB211" s="2290"/>
      <c r="AC211" s="2291" t="s">
        <v>1886</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1886</v>
      </c>
      <c r="H212" s="2288"/>
      <c r="I212" s="2288"/>
      <c r="J212" s="2288"/>
      <c r="K212" s="2288"/>
      <c r="L212" s="2288"/>
      <c r="M212" s="2288"/>
      <c r="N212" s="2288"/>
      <c r="O212" s="2288"/>
      <c r="P212" s="2289"/>
      <c r="Q212" s="2289"/>
      <c r="R212" s="2289"/>
      <c r="S212" s="2289"/>
      <c r="T212" s="2289"/>
      <c r="U212" s="2290" t="s">
        <v>1886</v>
      </c>
      <c r="V212" s="2290"/>
      <c r="W212" s="2290"/>
      <c r="X212" s="2290"/>
      <c r="Y212" s="2290" t="s">
        <v>1886</v>
      </c>
      <c r="Z212" s="2290"/>
      <c r="AA212" s="2290"/>
      <c r="AB212" s="2290"/>
      <c r="AC212" s="2291" t="s">
        <v>1886</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1886</v>
      </c>
      <c r="H213" s="2288"/>
      <c r="I213" s="2288"/>
      <c r="J213" s="2288"/>
      <c r="K213" s="2288"/>
      <c r="L213" s="2288"/>
      <c r="M213" s="2288"/>
      <c r="N213" s="2288"/>
      <c r="O213" s="2288"/>
      <c r="P213" s="2289"/>
      <c r="Q213" s="2289"/>
      <c r="R213" s="2289"/>
      <c r="S213" s="2289"/>
      <c r="T213" s="2289"/>
      <c r="U213" s="2290" t="s">
        <v>1886</v>
      </c>
      <c r="V213" s="2290"/>
      <c r="W213" s="2290"/>
      <c r="X213" s="2290"/>
      <c r="Y213" s="2290" t="s">
        <v>1886</v>
      </c>
      <c r="Z213" s="2290"/>
      <c r="AA213" s="2290"/>
      <c r="AB213" s="2290"/>
      <c r="AC213" s="2291" t="s">
        <v>1886</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1886</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1886</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1886</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2297</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2295</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2294</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2293</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2292</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2290</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2289</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2288</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2287</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2286</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2285</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2284</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B24" sqref="B24:S2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66252242.549999997</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77417410.450000003</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50"/>
      <c r="C18" s="1811" t="s">
        <v>961</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50"/>
      <c r="C19" s="1811" t="s">
        <v>961</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66252242.549999997</v>
      </c>
      <c r="U23" s="2333"/>
      <c r="V23" s="2333"/>
      <c r="W23" s="2333"/>
      <c r="X23" s="2333"/>
      <c r="Y23" s="2332">
        <f>Y11+Y22</f>
        <v>0</v>
      </c>
      <c r="Z23" s="2333"/>
      <c r="AA23" s="2333"/>
      <c r="AB23" s="2333"/>
      <c r="AC23" s="2333"/>
      <c r="AD23" s="2332">
        <f>AD11+AD22</f>
        <v>77417410.450000003</v>
      </c>
      <c r="AE23" s="2333"/>
      <c r="AF23" s="2333"/>
      <c r="AG23" s="2333"/>
      <c r="AH23" s="2333"/>
      <c r="AI23" s="233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203851746.63</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86127915.314999998</v>
      </c>
      <c r="U26" s="2333"/>
      <c r="V26" s="2333"/>
      <c r="W26" s="2333"/>
      <c r="X26" s="2333"/>
      <c r="Y26" s="2332">
        <f>Y23*Y25</f>
        <v>0</v>
      </c>
      <c r="Z26" s="2333"/>
      <c r="AA26" s="2333"/>
      <c r="AB26" s="2333"/>
      <c r="AC26" s="2333"/>
      <c r="AD26" s="2332">
        <f>AD23*AD25</f>
        <v>77417410.450000003</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86127915.314999998</v>
      </c>
      <c r="U28" s="2333"/>
      <c r="V28" s="2333"/>
      <c r="W28" s="2333"/>
      <c r="X28" s="2333"/>
      <c r="Y28" s="2332">
        <f>IF(ISERROR((Y26*Y27)),0,(Y26*Y27))</f>
        <v>0</v>
      </c>
      <c r="Z28" s="2333"/>
      <c r="AA28" s="2333"/>
      <c r="AB28" s="2333"/>
      <c r="AC28" s="2333"/>
      <c r="AD28" s="2332">
        <f>IF(ISERROR((AD26*AD27)),0,(AD26*AD27))</f>
        <v>77417410.450000003</v>
      </c>
      <c r="AE28" s="2333"/>
      <c r="AF28" s="2333"/>
      <c r="AG28" s="2333"/>
      <c r="AH28" s="2333"/>
      <c r="AI28" s="233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163545325.76499999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86127915.314999998</v>
      </c>
      <c r="Z38" s="2333"/>
      <c r="AA38" s="2333"/>
      <c r="AB38" s="2333"/>
      <c r="AC38" s="2333"/>
      <c r="AD38" s="2333">
        <f>IF(T24&gt;=(T23+Y23+AD23+AI23),AD28+AI28,0)</f>
        <v>77417410.450000003</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3445117</v>
      </c>
      <c r="Z40" s="2333"/>
      <c r="AA40" s="2333"/>
      <c r="AB40" s="2333"/>
      <c r="AC40" s="2333"/>
      <c r="AD40" s="2332">
        <f>ROUND(AD38*AD39,0)</f>
        <v>3096696</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6541813</v>
      </c>
      <c r="Z41" s="2335"/>
      <c r="AA41" s="2335"/>
      <c r="AB41" s="2335"/>
      <c r="AC41" s="2335"/>
      <c r="AD41" s="2335"/>
      <c r="AE41" s="2335"/>
      <c r="AF41" s="2335"/>
      <c r="AG41" s="2335"/>
      <c r="AH41" s="233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587</v>
      </c>
      <c r="C46" s="404" t="s">
        <v>282</v>
      </c>
    </row>
    <row r="47" spans="1:76" ht="12.95" customHeight="1">
      <c r="D47" s="404" t="s">
        <v>283</v>
      </c>
      <c r="AB47" s="2349">
        <f>'Sources and Uses Budget'!B105-MAX(IF('Sources and Uses Budget'!B15="",0,'Sources and Uses Budget'!B15),IF(Application!AG394="",0,Application!AG394))</f>
        <v>160300000</v>
      </c>
      <c r="AC47" s="2350"/>
      <c r="AD47" s="2350"/>
      <c r="AE47" s="2350"/>
      <c r="AF47" s="2351"/>
    </row>
    <row r="48" spans="1:76" ht="12.95" customHeight="1">
      <c r="D48" s="404" t="s">
        <v>21</v>
      </c>
      <c r="AB48" s="2349">
        <f>Application!AO639-MAX(IF('Sources and Uses Budget'!B15="",0,'Sources and Uses Budget'!B15),IF(Application!AG394="",0,Application!AG394))</f>
        <v>102740000</v>
      </c>
      <c r="AC48" s="2350"/>
      <c r="AD48" s="2350"/>
      <c r="AE48" s="2350"/>
      <c r="AF48" s="2351"/>
    </row>
    <row r="49" spans="1:76" ht="12.95" customHeight="1">
      <c r="D49" s="404" t="s">
        <v>91</v>
      </c>
      <c r="AB49" s="2349">
        <f>AB47-AB48</f>
        <v>57560000</v>
      </c>
      <c r="AC49" s="2350"/>
      <c r="AD49" s="2350"/>
      <c r="AE49" s="2350"/>
      <c r="AF49" s="2351"/>
    </row>
    <row r="50" spans="1:76" ht="12.95" customHeight="1">
      <c r="D50" s="404" t="s">
        <v>682</v>
      </c>
      <c r="AA50" s="415"/>
      <c r="AB50" s="2376">
        <f>AB49/(Y41*10)</f>
        <v>0.87987840679640339</v>
      </c>
      <c r="AC50" s="2377"/>
      <c r="AD50" s="2377"/>
      <c r="AE50" s="2377"/>
      <c r="AF50" s="2378"/>
    </row>
    <row r="51" spans="1:76" s="417" customFormat="1" ht="12.95" customHeight="1">
      <c r="A51" s="402"/>
      <c r="B51" s="402"/>
      <c r="C51" s="402"/>
      <c r="D51" s="402"/>
      <c r="E51" s="2379" t="s">
        <v>1851</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65418130</v>
      </c>
      <c r="AC54" s="2350"/>
      <c r="AD54" s="2350"/>
      <c r="AE54" s="2350"/>
      <c r="AF54" s="2351"/>
    </row>
    <row r="55" spans="1:76" ht="12.95" customHeight="1">
      <c r="D55" s="404" t="s">
        <v>333</v>
      </c>
      <c r="AB55" s="2349">
        <f>(AB54/10)</f>
        <v>6541813</v>
      </c>
      <c r="AC55" s="2350"/>
      <c r="AD55" s="2350"/>
      <c r="AE55" s="2350"/>
      <c r="AF55" s="2351"/>
    </row>
    <row r="56" spans="1:76" ht="12.95" customHeight="1">
      <c r="D56" s="404" t="s">
        <v>757</v>
      </c>
      <c r="AB56" s="2349">
        <f>ROUND((IF((Y41&lt;AB55),Y41,AB55)),0)</f>
        <v>6541813</v>
      </c>
      <c r="AC56" s="2350"/>
      <c r="AD56" s="2350"/>
      <c r="AE56" s="2350"/>
      <c r="AF56" s="2351"/>
    </row>
    <row r="57" spans="1:76" ht="12.95" customHeight="1">
      <c r="D57" s="404" t="s">
        <v>756</v>
      </c>
      <c r="AB57" s="2349">
        <f>ROUND((10*AB56*AB50),0)</f>
        <v>57560000</v>
      </c>
      <c r="AC57" s="2350"/>
      <c r="AD57" s="2350"/>
      <c r="AE57" s="2350"/>
      <c r="AF57" s="2351"/>
    </row>
    <row r="58" spans="1:76" ht="12.95" customHeight="1">
      <c r="D58" s="404"/>
      <c r="AB58" s="423"/>
      <c r="AC58" s="423"/>
      <c r="AD58" s="423"/>
      <c r="AE58" s="423"/>
      <c r="AF58" s="423"/>
    </row>
    <row r="59" spans="1:76" ht="12.95" customHeight="1">
      <c r="D59" s="404" t="s">
        <v>755</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590</v>
      </c>
      <c r="C63" s="205" t="s">
        <v>1249</v>
      </c>
      <c r="Y63" s="2373" t="s">
        <v>985</v>
      </c>
      <c r="Z63" s="2373"/>
      <c r="AA63" s="2373"/>
      <c r="AB63" s="2373"/>
      <c r="AC63" s="2373"/>
      <c r="AD63" s="2373" t="s">
        <v>369</v>
      </c>
      <c r="AE63" s="2373"/>
      <c r="AF63" s="2373"/>
      <c r="AG63" s="2373"/>
      <c r="AH63" s="237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Needs"),Application!M358="yes"),AD28+AI28,0)</f>
        <v>77417410.450000003</v>
      </c>
      <c r="AE64" s="2374"/>
      <c r="AF64" s="2374"/>
      <c r="AG64" s="2374"/>
      <c r="AH64" s="237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cm="1">
        <f t="array" ref="Y67">_xlfn.IFS(OR(Application!Z205="State Farmworker Credit",Application!Z205="$500M (Farmworker Housing)"),0.75,Application!Z205="15% set-aside",0.13,Application!Z205="15% set-aside with qualifying low value rehab",0.95,Application!Z205="$500M",0.3,TRUE,0)</f>
        <v>0</v>
      </c>
      <c r="Z67" s="2387"/>
      <c r="AA67" s="2387"/>
      <c r="AB67" s="2387"/>
      <c r="AC67" s="2387"/>
      <c r="AD67" s="2387" cm="1">
        <f t="array" ref="AD67">_xlfn.IFS(Application!Z205="15% set-aside with qualifying low value rehab", 0.95,OR(Application!D211="At-Risk",'Points System'!B13="Yes"),0.13,TRUE,0)</f>
        <v>0.13</v>
      </c>
      <c r="AE67" s="2387"/>
      <c r="AF67" s="2387"/>
      <c r="AG67" s="2387"/>
      <c r="AH67" s="2387"/>
    </row>
    <row r="68" spans="1:36" ht="12.95" customHeight="1">
      <c r="C68" s="404"/>
      <c r="D68" s="205" t="s">
        <v>2227</v>
      </c>
      <c r="Y68" s="2333">
        <f>ROUND(Y64*Y67,0)</f>
        <v>0</v>
      </c>
      <c r="Z68" s="2388"/>
      <c r="AA68" s="2388"/>
      <c r="AB68" s="2388"/>
      <c r="AC68" s="2388"/>
      <c r="AD68" s="2333">
        <f>ROUND(AD64*AD67,0)</f>
        <v>10064263</v>
      </c>
      <c r="AE68" s="2388"/>
      <c r="AF68" s="2388"/>
      <c r="AG68" s="2388"/>
      <c r="AH68" s="2388"/>
    </row>
    <row r="69" spans="1:36" ht="12.95" customHeight="1">
      <c r="C69" s="404"/>
      <c r="D69" s="205" t="s">
        <v>2228</v>
      </c>
      <c r="Y69" s="2333">
        <f>IF(OR(Application!Z205="State Farmworker Credit",Application!Z205="$500M (Farmworker Housing)"),Y68+AD68,MIN(Y68+AD68,200000*(Application!G753+Application!O777)))</f>
        <v>10064263</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6"/>
      <c r="AC72" s="2377"/>
      <c r="AD72" s="2377"/>
      <c r="AE72" s="2377"/>
      <c r="AF72" s="2378"/>
    </row>
    <row r="73" spans="1:36" ht="12.95"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2">
        <f>ROUND(IF(ISERROR((AB59/AB72)),0,(AB59/AB72)),0)</f>
        <v>0</v>
      </c>
      <c r="AC77" s="2382"/>
      <c r="AD77" s="2382"/>
      <c r="AE77" s="2382"/>
      <c r="AF77" s="2382"/>
    </row>
    <row r="78" spans="1:36" ht="12.95" customHeight="1">
      <c r="C78" s="404"/>
      <c r="D78" s="205" t="s">
        <v>1254</v>
      </c>
      <c r="AB78" s="2383">
        <f>ROUNDUP(MIN(Y69,AB77),0)</f>
        <v>0</v>
      </c>
      <c r="AC78" s="2384"/>
      <c r="AD78" s="2384"/>
      <c r="AE78" s="2384"/>
      <c r="AF78" s="2385"/>
    </row>
    <row r="79" spans="1:36" ht="12.95" customHeight="1">
      <c r="C79" s="404"/>
      <c r="D79" s="205" t="s">
        <v>1255</v>
      </c>
      <c r="AB79" s="2386">
        <f>AB78*AB72</f>
        <v>0</v>
      </c>
      <c r="AC79" s="2386"/>
      <c r="AD79" s="2386"/>
      <c r="AE79" s="2386"/>
      <c r="AF79" s="2386"/>
    </row>
    <row r="80" spans="1:36" ht="12.95" customHeight="1">
      <c r="C80" s="404"/>
      <c r="D80" s="404"/>
      <c r="AB80" s="425"/>
      <c r="AC80" s="425"/>
      <c r="AD80" s="425"/>
      <c r="AE80" s="425"/>
      <c r="AF80" s="425"/>
    </row>
    <row r="81" spans="1:78" ht="12.95" customHeight="1">
      <c r="D81" s="404" t="s">
        <v>755</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customHeight="1">
      <c r="A86" s="404"/>
      <c r="C86" s="205"/>
    </row>
    <row r="87" spans="1:78" ht="12.95" customHeight="1">
      <c r="D87" s="205"/>
      <c r="AB87" s="2338"/>
      <c r="AC87" s="2338"/>
      <c r="AD87" s="2338"/>
      <c r="AE87" s="2338"/>
      <c r="AF87" s="2338"/>
    </row>
    <row r="88" spans="1:78" ht="12.95"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7" workbookViewId="0">
      <selection activeCell="O128" sqref="O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546</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20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20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546</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IF(SUM(AO13:AO16)&gt;20,20,(SUM(AO13:AO16)))</f>
        <v>20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t="s">
        <v>2773</v>
      </c>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2035</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2251</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4" t="s">
        <v>592</v>
      </c>
      <c r="C33" s="2614"/>
      <c r="D33" s="547"/>
      <c r="E33" s="2624" t="s">
        <v>2253</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2254</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4" t="s">
        <v>592</v>
      </c>
      <c r="C40" s="2614"/>
      <c r="D40" s="547"/>
      <c r="E40" s="2541" t="s">
        <v>2252</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2010</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2015</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2016</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2017</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20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2018</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0.424223602484472</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0.16999999999999998</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20</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0.424223602484472</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0.49689440993788819</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0.29192546583850931</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795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795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795</v>
      </c>
    </row>
    <row r="115" spans="1:52" s="536" customFormat="1" ht="12.75" customHeight="1">
      <c r="A115" s="540"/>
      <c r="B115" s="2614" t="s">
        <v>546</v>
      </c>
      <c r="C115" s="2614"/>
      <c r="D115" s="547" t="s">
        <v>1316</v>
      </c>
      <c r="E115" s="2606" t="s">
        <v>1859</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SRO/Studio</v>
      </c>
      <c r="AQ115" s="536">
        <f>Application!O721</f>
        <v>1060</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SRO/Studio</v>
      </c>
      <c r="AQ116" s="536">
        <f>Application!O722</f>
        <v>1325</v>
      </c>
      <c r="AU116" s="856" t="str">
        <f>E124</f>
        <v>Studio/SRO</v>
      </c>
      <c r="AV116" s="536">
        <f t="array" ref="AV116">SUM(IF(Application!B718:F752="SRO/Studio",Application!G718:J752))</f>
        <v>107</v>
      </c>
      <c r="AW116" s="1011">
        <f>AV116/AV122</f>
        <v>0.6645962732919255</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SRO/Studio</v>
      </c>
      <c r="AQ117" s="536">
        <f>Application!O723</f>
        <v>1590</v>
      </c>
      <c r="AU117" s="856" t="str">
        <f>J124</f>
        <v>1-bedroom</v>
      </c>
      <c r="AV117" s="536">
        <f t="array" ref="AV117">SUM(IF(Application!B718:F752="1 Bedroom",Application!G718:J752))</f>
        <v>44</v>
      </c>
      <c r="AW117" s="1011">
        <f>AV117/AV122</f>
        <v>0.27329192546583853</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SRO/Studio</v>
      </c>
      <c r="AQ118" s="536">
        <f>Application!O724</f>
        <v>1590</v>
      </c>
      <c r="AU118" s="856" t="str">
        <f>O124</f>
        <v>2-bedroom</v>
      </c>
      <c r="AV118" s="536">
        <f t="array" ref="AV118">SUM(IF(Application!B718:F752="2 Bedrooms",Application!G718:J752))</f>
        <v>10</v>
      </c>
      <c r="AW118" s="1011">
        <f>AV118/AV122</f>
        <v>6.2111801242236024E-2</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SRO/Studio</v>
      </c>
      <c r="AQ119" s="536">
        <f>Application!O725</f>
        <v>2120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SRO/Studio</v>
      </c>
      <c r="AQ120" s="536">
        <f>Application!O726</f>
        <v>2120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1 Bedroom</v>
      </c>
      <c r="AQ121" s="536">
        <f>Application!O727</f>
        <v>852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1 Bedroom</v>
      </c>
      <c r="AQ122" s="536">
        <f>Application!O728</f>
        <v>1420</v>
      </c>
      <c r="AV122" s="536">
        <f>SUM(AV116:AV121)</f>
        <v>161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1420</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t="str">
        <f>Application!B730</f>
        <v>1 Bedroom</v>
      </c>
      <c r="AQ124" s="536">
        <f>Application!O730</f>
        <v>1704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1704</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2272</v>
      </c>
    </row>
    <row r="127" spans="1:52" s="536" customFormat="1" ht="12.75" customHeight="1">
      <c r="A127" s="540"/>
      <c r="B127" s="539"/>
      <c r="C127" s="540"/>
      <c r="D127" s="540"/>
      <c r="E127" s="2604">
        <v>2905</v>
      </c>
      <c r="F127" s="2605"/>
      <c r="G127" s="2605"/>
      <c r="H127" s="2605"/>
      <c r="I127" s="864"/>
      <c r="J127" s="2605">
        <v>3261</v>
      </c>
      <c r="K127" s="2605"/>
      <c r="L127" s="2605"/>
      <c r="M127" s="2605"/>
      <c r="N127" s="864"/>
      <c r="O127" s="2605">
        <v>3931</v>
      </c>
      <c r="P127" s="2605"/>
      <c r="Q127" s="2605"/>
      <c r="R127" s="2605"/>
      <c r="S127" s="864"/>
      <c r="T127" s="2605"/>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t="str">
        <f>Application!B733</f>
        <v>2 Bedrooms</v>
      </c>
      <c r="AQ127" s="536">
        <f>Application!O733</f>
        <v>1022</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1703</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1703</v>
      </c>
      <c r="AU129" s="1009"/>
      <c r="AV129" s="1009"/>
      <c r="AW129" s="1009"/>
      <c r="AX129" s="1009"/>
      <c r="AY129" s="1009"/>
      <c r="AZ129" s="1009"/>
    </row>
    <row r="130" spans="1:52" s="536" customFormat="1" ht="12.75" customHeight="1">
      <c r="A130" s="540"/>
      <c r="B130" s="539"/>
      <c r="C130" s="540"/>
      <c r="D130" s="540"/>
      <c r="E130" s="2612">
        <f>Application!DX670</f>
        <v>1112.0093457943924</v>
      </c>
      <c r="F130" s="2613"/>
      <c r="G130" s="2613"/>
      <c r="H130" s="2613"/>
      <c r="I130" s="864"/>
      <c r="J130" s="2613">
        <f>Application!EC670</f>
        <v>1200.5454545454545</v>
      </c>
      <c r="K130" s="2613"/>
      <c r="L130" s="2613"/>
      <c r="M130" s="2613"/>
      <c r="N130" s="864"/>
      <c r="O130" s="2613">
        <f>Application!EH670</f>
        <v>1635</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t="str">
        <f>Application!B736</f>
        <v>2 Bedrooms</v>
      </c>
      <c r="AQ130" s="536">
        <f>Application!O736</f>
        <v>2044</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0.61720848681776508</v>
      </c>
      <c r="F133" s="2408"/>
      <c r="G133" s="2408"/>
      <c r="H133" s="2409"/>
      <c r="I133" s="577"/>
      <c r="J133" s="2407">
        <f>(J127-J130)/J127</f>
        <v>0.63184745337459225</v>
      </c>
      <c r="K133" s="2408"/>
      <c r="L133" s="2408"/>
      <c r="M133" s="2409"/>
      <c r="N133" s="577"/>
      <c r="O133" s="2407">
        <f>(O127-O130)/O127</f>
        <v>0.58407529890613075</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0.34373483285404266</v>
      </c>
      <c r="F136" s="2616"/>
      <c r="G136" s="2616"/>
      <c r="H136" s="2617"/>
      <c r="I136" s="577"/>
      <c r="J136" s="2615">
        <f>IF(((J133-0.1)*AW117)&gt;0,((J133-0.1)*AW117),0)</f>
        <v>0.14534961458684509</v>
      </c>
      <c r="K136" s="2616"/>
      <c r="L136" s="2616"/>
      <c r="M136" s="2617"/>
      <c r="N136" s="577"/>
      <c r="O136" s="2615">
        <f>IF(((O133-0.1)*AW118)&gt;0,((O133-0.1)*AW118),0)</f>
        <v>3.0066788751933589E-2</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0.51</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2774</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2478</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2479</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2477</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Thomas Safran &amp; Associates,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1361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2775</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7920000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9071469.5879512783</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16991469.58795128</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324</v>
      </c>
      <c r="C224" s="2463"/>
      <c r="D224" s="2463"/>
      <c r="E224" s="2463"/>
      <c r="F224" s="2463"/>
      <c r="G224" s="2463"/>
      <c r="H224" s="852"/>
      <c r="I224" s="2416">
        <v>2</v>
      </c>
      <c r="J224" s="2416"/>
      <c r="K224" s="2416"/>
      <c r="L224" s="1008"/>
      <c r="N224" s="2414">
        <v>1060</v>
      </c>
      <c r="O224" s="2414"/>
      <c r="P224" s="2414"/>
      <c r="Q224" s="2414"/>
      <c r="R224" s="2414"/>
      <c r="T224" s="2413">
        <v>2818</v>
      </c>
      <c r="U224" s="2413"/>
      <c r="V224" s="2413"/>
      <c r="W224" s="2413"/>
      <c r="X224" s="2413"/>
      <c r="Y224" s="2413"/>
      <c r="Z224" s="851"/>
      <c r="AA224" s="851"/>
      <c r="AB224" s="2411">
        <f t="shared" ref="AB224:AB233" si="0">MAX(($T224-$N224)*$I224*12,0)</f>
        <v>42192</v>
      </c>
      <c r="AC224" s="2411"/>
      <c r="AD224" s="2411"/>
      <c r="AE224" s="2411"/>
      <c r="AF224" s="2411"/>
      <c r="AG224" s="2411"/>
      <c r="AH224" s="827"/>
      <c r="AI224" s="827"/>
      <c r="AJ224" s="827"/>
      <c r="AK224" s="610"/>
    </row>
    <row r="225" spans="1:37">
      <c r="A225" s="605"/>
      <c r="B225" s="2463" t="s">
        <v>324</v>
      </c>
      <c r="C225" s="2463"/>
      <c r="D225" s="2463"/>
      <c r="E225" s="2463"/>
      <c r="F225" s="2463"/>
      <c r="G225" s="2463"/>
      <c r="I225" s="2416">
        <v>6</v>
      </c>
      <c r="J225" s="2416"/>
      <c r="K225" s="2416"/>
      <c r="L225" s="1008"/>
      <c r="N225" s="2414">
        <v>1060</v>
      </c>
      <c r="O225" s="2414"/>
      <c r="P225" s="2414"/>
      <c r="Q225" s="2414"/>
      <c r="R225" s="2414"/>
      <c r="T225" s="2413">
        <v>2885</v>
      </c>
      <c r="U225" s="2413"/>
      <c r="V225" s="2413"/>
      <c r="W225" s="2413"/>
      <c r="X225" s="2413"/>
      <c r="Y225" s="2413"/>
      <c r="Z225" s="851"/>
      <c r="AA225" s="851"/>
      <c r="AB225" s="2411">
        <f t="shared" si="0"/>
        <v>131400</v>
      </c>
      <c r="AC225" s="2411"/>
      <c r="AD225" s="2411"/>
      <c r="AE225" s="2411"/>
      <c r="AF225" s="2411"/>
      <c r="AG225" s="2411"/>
      <c r="AH225" s="827"/>
      <c r="AI225" s="827"/>
      <c r="AJ225" s="827"/>
      <c r="AK225" s="610"/>
    </row>
    <row r="226" spans="1:37">
      <c r="A226" s="605"/>
      <c r="B226" s="2463" t="s">
        <v>324</v>
      </c>
      <c r="C226" s="2463"/>
      <c r="D226" s="2463"/>
      <c r="E226" s="2463"/>
      <c r="F226" s="2463"/>
      <c r="G226" s="2463"/>
      <c r="I226" s="2416">
        <v>1</v>
      </c>
      <c r="J226" s="2416"/>
      <c r="K226" s="2416"/>
      <c r="L226" s="1008"/>
      <c r="N226" s="2414">
        <v>1060</v>
      </c>
      <c r="O226" s="2414"/>
      <c r="P226" s="2414"/>
      <c r="Q226" s="2414"/>
      <c r="R226" s="2414"/>
      <c r="T226" s="2413">
        <v>2951</v>
      </c>
      <c r="U226" s="2413"/>
      <c r="V226" s="2413"/>
      <c r="W226" s="2413"/>
      <c r="X226" s="2413"/>
      <c r="Y226" s="2413"/>
      <c r="Z226" s="851"/>
      <c r="AA226" s="851"/>
      <c r="AB226" s="2411">
        <f t="shared" si="0"/>
        <v>22692</v>
      </c>
      <c r="AC226" s="2411"/>
      <c r="AD226" s="2411"/>
      <c r="AE226" s="2411"/>
      <c r="AF226" s="2411"/>
      <c r="AG226" s="2411"/>
      <c r="AH226" s="827"/>
      <c r="AI226" s="827"/>
      <c r="AJ226" s="827"/>
      <c r="AK226" s="610"/>
    </row>
    <row r="227" spans="1:37">
      <c r="A227" s="605"/>
      <c r="B227" s="2463" t="s">
        <v>324</v>
      </c>
      <c r="C227" s="2463"/>
      <c r="D227" s="2463"/>
      <c r="E227" s="2463"/>
      <c r="F227" s="2463"/>
      <c r="G227" s="2463"/>
      <c r="I227" s="2416">
        <v>1</v>
      </c>
      <c r="J227" s="2416"/>
      <c r="K227" s="2416"/>
      <c r="L227" s="1008"/>
      <c r="N227" s="2414">
        <v>1060</v>
      </c>
      <c r="O227" s="2414"/>
      <c r="P227" s="2414"/>
      <c r="Q227" s="2414"/>
      <c r="R227" s="2414"/>
      <c r="T227" s="2413">
        <v>3245</v>
      </c>
      <c r="U227" s="2413"/>
      <c r="V227" s="2413"/>
      <c r="W227" s="2413"/>
      <c r="X227" s="2413"/>
      <c r="Y227" s="2413"/>
      <c r="Z227" s="851"/>
      <c r="AA227" s="851"/>
      <c r="AB227" s="2411">
        <f t="shared" si="0"/>
        <v>26220</v>
      </c>
      <c r="AC227" s="2411"/>
      <c r="AD227" s="2411"/>
      <c r="AE227" s="2411"/>
      <c r="AF227" s="2411"/>
      <c r="AG227" s="2411"/>
      <c r="AH227" s="827"/>
      <c r="AI227" s="827"/>
      <c r="AJ227" s="827"/>
      <c r="AK227" s="610"/>
    </row>
    <row r="228" spans="1:37">
      <c r="A228" s="605"/>
      <c r="B228" s="2463" t="s">
        <v>324</v>
      </c>
      <c r="C228" s="2463"/>
      <c r="D228" s="2463"/>
      <c r="E228" s="2463"/>
      <c r="F228" s="2463"/>
      <c r="G228" s="2463"/>
      <c r="I228" s="2416">
        <v>79</v>
      </c>
      <c r="J228" s="2416"/>
      <c r="K228" s="2416"/>
      <c r="L228" s="1015"/>
      <c r="N228" s="2414">
        <v>1060</v>
      </c>
      <c r="O228" s="2414"/>
      <c r="P228" s="2414"/>
      <c r="Q228" s="2414"/>
      <c r="R228" s="2414"/>
      <c r="T228" s="2413">
        <v>1512</v>
      </c>
      <c r="U228" s="2413"/>
      <c r="V228" s="2413"/>
      <c r="W228" s="2413"/>
      <c r="X228" s="2413"/>
      <c r="Y228" s="2413"/>
      <c r="Z228" s="851"/>
      <c r="AA228" s="851"/>
      <c r="AB228" s="2411">
        <f t="shared" si="0"/>
        <v>428496</v>
      </c>
      <c r="AC228" s="2411"/>
      <c r="AD228" s="2411"/>
      <c r="AE228" s="2411"/>
      <c r="AF228" s="2411"/>
      <c r="AG228" s="2411"/>
      <c r="AH228" s="827"/>
      <c r="AI228" s="827"/>
      <c r="AJ228" s="827"/>
      <c r="AK228" s="610"/>
    </row>
    <row r="229" spans="1:37">
      <c r="A229" s="605"/>
      <c r="B229" s="2463" t="s">
        <v>2776</v>
      </c>
      <c r="C229" s="2463"/>
      <c r="D229" s="2463"/>
      <c r="E229" s="2463"/>
      <c r="F229" s="2463"/>
      <c r="G229" s="2463"/>
      <c r="I229" s="2416">
        <v>38</v>
      </c>
      <c r="J229" s="2416"/>
      <c r="K229" s="2416"/>
      <c r="L229" s="1015"/>
      <c r="N229" s="2414">
        <v>1136</v>
      </c>
      <c r="O229" s="2414"/>
      <c r="P229" s="2414"/>
      <c r="Q229" s="2414"/>
      <c r="R229" s="2414"/>
      <c r="T229" s="2413">
        <v>1624</v>
      </c>
      <c r="U229" s="2413"/>
      <c r="V229" s="2413"/>
      <c r="W229" s="2413"/>
      <c r="X229" s="2413"/>
      <c r="Y229" s="2413"/>
      <c r="Z229" s="851"/>
      <c r="AA229" s="851"/>
      <c r="AB229" s="2411">
        <f t="shared" si="0"/>
        <v>222528</v>
      </c>
      <c r="AC229" s="2411"/>
      <c r="AD229" s="2411"/>
      <c r="AE229" s="2411"/>
      <c r="AF229" s="2411"/>
      <c r="AG229" s="2411"/>
      <c r="AH229" s="827"/>
      <c r="AI229" s="827"/>
      <c r="AJ229" s="827"/>
      <c r="AK229" s="610"/>
    </row>
    <row r="230" spans="1:37">
      <c r="A230" s="605"/>
      <c r="B230" s="2463" t="s">
        <v>2777</v>
      </c>
      <c r="C230" s="2463"/>
      <c r="D230" s="2463"/>
      <c r="E230" s="2463"/>
      <c r="F230" s="2463"/>
      <c r="G230" s="2463"/>
      <c r="I230" s="2416">
        <v>9</v>
      </c>
      <c r="J230" s="2416"/>
      <c r="K230" s="2416"/>
      <c r="L230" s="1015"/>
      <c r="N230" s="2414">
        <v>1363</v>
      </c>
      <c r="O230" s="2414"/>
      <c r="P230" s="2414"/>
      <c r="Q230" s="2414"/>
      <c r="R230" s="2414"/>
      <c r="T230" s="2413">
        <v>2300</v>
      </c>
      <c r="U230" s="2413"/>
      <c r="V230" s="2413"/>
      <c r="W230" s="2413"/>
      <c r="X230" s="2413"/>
      <c r="Y230" s="2413"/>
      <c r="Z230" s="851"/>
      <c r="AA230" s="851"/>
      <c r="AB230" s="2411">
        <f t="shared" si="0"/>
        <v>101196</v>
      </c>
      <c r="AC230" s="2411"/>
      <c r="AD230" s="2411"/>
      <c r="AE230" s="2411"/>
      <c r="AF230" s="2411"/>
      <c r="AG230" s="2411"/>
      <c r="AH230" s="827"/>
      <c r="AI230" s="827"/>
      <c r="AJ230" s="827"/>
      <c r="AK230" s="610"/>
    </row>
    <row r="231" spans="1:37">
      <c r="A231" s="605"/>
      <c r="B231" s="2463"/>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974724</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974724</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925987.8</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805206.78260869579</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9071469.5879512783</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16991469.58795128</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160300000</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0.1</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2" t="s">
        <v>546</v>
      </c>
      <c r="D278" s="2442"/>
      <c r="E278" s="547"/>
      <c r="F278" s="2394" t="s">
        <v>2026</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7"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3" t="s">
        <v>592</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2019</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2027</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2" t="s">
        <v>592</v>
      </c>
      <c r="D302" s="2442"/>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2021</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2028</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2" t="s">
        <v>592</v>
      </c>
      <c r="D333" s="2442"/>
      <c r="E333" s="547"/>
      <c r="F333" s="2541" t="s">
        <v>2029</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2094</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2209</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1880</v>
      </c>
    </row>
    <row r="362" spans="1:46" s="550" customFormat="1" ht="12.75" customHeight="1">
      <c r="A362" s="603"/>
      <c r="B362" s="611"/>
      <c r="C362" s="2531" t="s">
        <v>2234</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8">
        <f>Application!DU802-U374</f>
        <v>171</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546</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76348969</v>
      </c>
      <c r="AQ550" s="2419"/>
      <c r="AR550" s="2419"/>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143669653</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167967731.19999999</v>
      </c>
      <c r="AG552" s="2426"/>
      <c r="AH552" s="2426"/>
      <c r="AI552" s="2426"/>
      <c r="AJ552" s="2426"/>
      <c r="AK552" s="595"/>
      <c r="AL552" s="595"/>
      <c r="AM552" s="595"/>
      <c r="AN552" s="597"/>
      <c r="AP552" s="2419">
        <f>Application!AJ1045</f>
        <v>22141201.009999998</v>
      </c>
      <c r="AQ552" s="2419"/>
      <c r="AR552" s="2419"/>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0.14000000000000001</v>
      </c>
      <c r="AG553" s="2427"/>
      <c r="AH553" s="2427"/>
      <c r="AI553" s="2427"/>
      <c r="AJ553" s="2427"/>
      <c r="AK553" s="595"/>
      <c r="AL553" s="595"/>
      <c r="AM553" s="595"/>
      <c r="AN553" s="597"/>
      <c r="AP553" s="2415">
        <f>Application!AJ1049</f>
        <v>74821989.620000005</v>
      </c>
      <c r="AQ553" s="2415"/>
      <c r="AR553" s="2415"/>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0.8</v>
      </c>
      <c r="AQ554" s="2434"/>
      <c r="AR554" s="2434"/>
      <c r="AS554" s="550" t="s">
        <v>2173</v>
      </c>
    </row>
    <row r="555" spans="1:49" s="550" customFormat="1" ht="12.75" customHeight="1">
      <c r="A555" s="624"/>
      <c r="B555" s="2501" t="s">
        <v>2033</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106888556</v>
      </c>
      <c r="AQ556" s="2435"/>
      <c r="AR556" s="2435"/>
      <c r="AS556" s="550" t="s">
        <v>2175</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203851746.63</v>
      </c>
      <c r="AQ557" s="2419"/>
      <c r="AR557" s="2419"/>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167967731.19999999</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2024</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2178</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3</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2099</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688</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3</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688</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161</v>
      </c>
    </row>
    <row r="691" spans="1:51" s="550" customFormat="1" ht="12.75" customHeight="1">
      <c r="A691" s="679"/>
      <c r="B691" s="536"/>
      <c r="C691" s="948"/>
      <c r="D691" s="663" t="s">
        <v>688</v>
      </c>
      <c r="E691" s="2391" t="s">
        <v>2191</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2186</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1" t="s">
        <v>2135</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2189</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2190</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2136</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5" t="s">
        <v>688</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3</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7"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1" t="s">
        <v>2034</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592</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20</v>
      </c>
      <c r="U804" s="2476"/>
      <c r="V804" s="2476"/>
      <c r="W804" s="2476"/>
      <c r="X804" s="2476"/>
      <c r="Y804" s="2477"/>
      <c r="Z804" s="2475">
        <v>20</v>
      </c>
      <c r="AA804" s="2476"/>
      <c r="AB804" s="2476"/>
      <c r="AC804" s="2476"/>
      <c r="AD804" s="2476"/>
      <c r="AE804" s="2477"/>
      <c r="AF804" s="2440">
        <f>IF(T804&gt;Z804,Z804,T804)</f>
        <v>20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0</v>
      </c>
      <c r="U805" s="2476"/>
      <c r="V805" s="2476"/>
      <c r="W805" s="2476"/>
      <c r="X805" s="2476"/>
      <c r="Y805" s="2477"/>
      <c r="Z805" s="2475">
        <v>10</v>
      </c>
      <c r="AA805" s="2476"/>
      <c r="AB805" s="2476"/>
      <c r="AC805" s="2476"/>
      <c r="AD805" s="2476"/>
      <c r="AE805" s="2477"/>
      <c r="AF805" s="2440">
        <f>IF(T805&gt;Z805,Z805,T805)</f>
        <v>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0</v>
      </c>
      <c r="U811" s="2474"/>
      <c r="V811" s="2474"/>
      <c r="W811" s="2474"/>
      <c r="X811" s="2474"/>
      <c r="Y811" s="2474"/>
      <c r="Z811" s="2440">
        <v>10</v>
      </c>
      <c r="AA811" s="2440"/>
      <c r="AB811" s="2440"/>
      <c r="AC811" s="2440"/>
      <c r="AD811" s="2440"/>
      <c r="AE811" s="2440"/>
      <c r="AF811" s="2440">
        <f>IF(T811&gt;Z811,Z811,T811)</f>
        <v>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0</v>
      </c>
      <c r="U815" s="2474"/>
      <c r="V815" s="2474"/>
      <c r="W815" s="2474"/>
      <c r="X815" s="2474"/>
      <c r="Y815" s="2474"/>
      <c r="Z815" s="2483">
        <v>10</v>
      </c>
      <c r="AA815" s="2484"/>
      <c r="AB815" s="2484"/>
      <c r="AC815" s="2484"/>
      <c r="AD815" s="2484"/>
      <c r="AE815" s="2485"/>
      <c r="AF815" s="2483">
        <f>IF(T815&gt;Z815,Z815,T815)</f>
        <v>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110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99cd591-4257-4c18-8769-c80073dddf61" xsi:nil="true"/>
    <lcf76f155ced4ddcb4097134ff3c332f xmlns="ef110956-ef39-4772-9c13-f964c595474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27D3058EC9AB4691674692BC1E2EBB" ma:contentTypeVersion="14" ma:contentTypeDescription="Create a new document." ma:contentTypeScope="" ma:versionID="56c7a1ac678e772a7e56fbb026acf6ed">
  <xsd:schema xmlns:xsd="http://www.w3.org/2001/XMLSchema" xmlns:xs="http://www.w3.org/2001/XMLSchema" xmlns:p="http://schemas.microsoft.com/office/2006/metadata/properties" xmlns:ns2="ef110956-ef39-4772-9c13-f964c5954740" xmlns:ns3="399cd591-4257-4c18-8769-c80073dddf61" targetNamespace="http://schemas.microsoft.com/office/2006/metadata/properties" ma:root="true" ma:fieldsID="ef72bc986fb8cb6035985dc87b1852c4" ns2:_="" ns3:_="">
    <xsd:import namespace="ef110956-ef39-4772-9c13-f964c5954740"/>
    <xsd:import namespace="399cd591-4257-4c18-8769-c80073dddf6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10956-ef39-4772-9c13-f964c59547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f9595af-3e2b-4dc5-897c-46e45bc1495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9cd591-4257-4c18-8769-c80073dddf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91c890b-17c6-4ce1-b15b-b5aff581fd1f}" ma:internalName="TaxCatchAll" ma:showField="CatchAllData" ma:web="399cd591-4257-4c18-8769-c80073dddf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072158-7BFA-4633-9D10-F0DBF86006DE}">
  <ds:schemaRefs>
    <ds:schemaRef ds:uri="http://schemas.microsoft.com/sharepoint/v3/contenttype/forms"/>
  </ds:schemaRefs>
</ds:datastoreItem>
</file>

<file path=customXml/itemProps2.xml><?xml version="1.0" encoding="utf-8"?>
<ds:datastoreItem xmlns:ds="http://schemas.openxmlformats.org/officeDocument/2006/customXml" ds:itemID="{92ADF3FC-D694-4BB1-B172-5143813E9DB4}">
  <ds:schemaRefs>
    <ds:schemaRef ds:uri="http://schemas.microsoft.com/office/2006/metadata/properties"/>
    <ds:schemaRef ds:uri="http://schemas.microsoft.com/office/infopath/2007/PartnerControls"/>
    <ds:schemaRef ds:uri="399cd591-4257-4c18-8769-c80073dddf61"/>
    <ds:schemaRef ds:uri="ef110956-ef39-4772-9c13-f964c5954740"/>
  </ds:schemaRefs>
</ds:datastoreItem>
</file>

<file path=customXml/itemProps3.xml><?xml version="1.0" encoding="utf-8"?>
<ds:datastoreItem xmlns:ds="http://schemas.openxmlformats.org/officeDocument/2006/customXml" ds:itemID="{D614F5F1-610B-41B5-BA48-D1A2DE85CB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10956-ef39-4772-9c13-f964c5954740"/>
    <ds:schemaRef ds:uri="399cd591-4257-4c18-8769-c80073dddf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0x0101005E27D3058EC9AB4691674692BC1E2EBB</vt:lpwstr>
  </property>
  <property fmtid="{D5CDD505-2E9C-101B-9397-08002B2CF9AE}" pid="3" name="MediaServiceImageTags">
    <vt:lpwstr/>
  </property>
</Properties>
</file>