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25F81089-2A5C-4F28-A142-793016EB9A45}" xr6:coauthVersionLast="47" xr6:coauthVersionMax="47" xr10:uidLastSave="{00000000-0000-0000-0000-000000000000}"/>
  <bookViews>
    <workbookView xWindow="-120" yWindow="-120" windowWidth="25440" windowHeight="15390" firstSheet="2"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Application!$A$910:$AT$950</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System'!$A$287:$AM$338</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4" l="1"/>
  <c r="AO640" i="3"/>
  <c r="H86" i="4"/>
  <c r="F29" i="4"/>
  <c r="G86" i="4"/>
  <c r="AA932" i="3" l="1"/>
  <c r="AA918" i="3"/>
  <c r="AC886" i="3"/>
  <c r="E95" i="4" l="1"/>
  <c r="E43" i="4"/>
  <c r="E40" i="4"/>
  <c r="C37" i="4"/>
  <c r="E37" i="4" s="1"/>
  <c r="E99"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36" i="4"/>
  <c r="E35" i="4"/>
  <c r="E34" i="4"/>
  <c r="E33" i="4"/>
  <c r="E32" i="4"/>
  <c r="E31" i="4"/>
  <c r="E30" i="4"/>
  <c r="E29" i="4"/>
  <c r="E15" i="4"/>
  <c r="E14" i="4"/>
  <c r="E13" i="4"/>
  <c r="E10" i="4"/>
  <c r="E9" i="4"/>
  <c r="E4" i="4"/>
  <c r="AD199" i="20" l="1"/>
  <c r="Q627" i="3"/>
  <c r="AG448" i="3"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52" i="21"/>
  <c r="P50" i="21" a="1"/>
  <c r="P50" i="21" s="1"/>
  <c r="P48" i="21" a="1"/>
  <c r="P48" i="21" s="1"/>
  <c r="U53" i="21"/>
  <c r="T53" i="21"/>
  <c r="R53" i="21" a="1"/>
  <c r="R53" i="21" s="1"/>
  <c r="O51" i="21"/>
  <c r="O49" i="21"/>
  <c r="S47" i="21"/>
  <c r="T46" i="21"/>
  <c r="S46" i="21"/>
  <c r="U46" i="21"/>
  <c r="R51" i="21" a="1"/>
  <c r="R51" i="21" s="1"/>
  <c r="R49" i="21" a="1"/>
  <c r="R49" i="21" s="1"/>
  <c r="S48" i="21"/>
  <c r="P52" i="21" a="1"/>
  <c r="P52" i="21" s="1"/>
  <c r="P51" i="21" a="1"/>
  <c r="P51" i="21" s="1"/>
  <c r="O50" i="21"/>
  <c r="P49" i="21" a="1"/>
  <c r="P49" i="21" s="1"/>
  <c r="R48" i="21" a="1"/>
  <c r="R48" i="21" s="1"/>
  <c r="R47" i="21" a="1"/>
  <c r="R47" i="21" s="1"/>
  <c r="T45" i="21"/>
  <c r="U51" i="21"/>
  <c r="U49" i="21"/>
  <c r="S45" i="2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B66" i="13"/>
  <c r="B67" i="13"/>
  <c r="B68" i="13"/>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C9" i="13" s="1"/>
  <c r="C11" i="13" s="1"/>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G26" i="13"/>
  <c r="D26" i="13"/>
  <c r="C26" i="13"/>
  <c r="J11" i="13"/>
  <c r="D11"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E87" i="13" s="1"/>
  <c r="F87" i="13" s="1"/>
  <c r="R86" i="4"/>
  <c r="S86" i="4" s="1"/>
  <c r="E86" i="13" s="1"/>
  <c r="F86" i="13" s="1"/>
  <c r="R85" i="4"/>
  <c r="S85" i="4" s="1"/>
  <c r="E85" i="13" s="1"/>
  <c r="F85" i="13" s="1"/>
  <c r="R83" i="4"/>
  <c r="R76" i="4"/>
  <c r="R75" i="4"/>
  <c r="R72" i="4"/>
  <c r="R73" i="4"/>
  <c r="R74" i="4"/>
  <c r="R69" i="4"/>
  <c r="S69" i="4" s="1"/>
  <c r="E69" i="13" s="1"/>
  <c r="F69" i="13" s="1"/>
  <c r="R65" i="4"/>
  <c r="S65" i="4"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S49" i="4" s="1"/>
  <c r="E49" i="13" s="1"/>
  <c r="F49" i="13" s="1"/>
  <c r="R48" i="4"/>
  <c r="S48" i="4" s="1"/>
  <c r="E48" i="13" s="1"/>
  <c r="F48" i="13" s="1"/>
  <c r="R47" i="4"/>
  <c r="S47" i="4" s="1"/>
  <c r="E47" i="13" s="1"/>
  <c r="F47" i="13" s="1"/>
  <c r="R46" i="4"/>
  <c r="S46" i="4" s="1"/>
  <c r="E46" i="13" s="1"/>
  <c r="F46" i="13" s="1"/>
  <c r="R45" i="4"/>
  <c r="S45" i="4" s="1"/>
  <c r="E45" i="13" s="1"/>
  <c r="F45" i="13" s="1"/>
  <c r="R43" i="4"/>
  <c r="S43" i="4" s="1"/>
  <c r="E43" i="13" s="1"/>
  <c r="F43" i="13" s="1"/>
  <c r="R41" i="4"/>
  <c r="S41" i="4" s="1"/>
  <c r="E41" i="13" s="1"/>
  <c r="F41" i="13" s="1"/>
  <c r="R40" i="4"/>
  <c r="S40" i="4"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H9" i="13" s="1"/>
  <c r="I9" i="13" s="1"/>
  <c r="I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AH722" i="3" s="1"/>
  <c r="X723" i="3"/>
  <c r="X724" i="3"/>
  <c r="X730" i="3"/>
  <c r="X731" i="3"/>
  <c r="X732" i="3"/>
  <c r="X733" i="3"/>
  <c r="X734" i="3"/>
  <c r="X735" i="3"/>
  <c r="X736" i="3"/>
  <c r="X737" i="3"/>
  <c r="X738" i="3"/>
  <c r="X739" i="3"/>
  <c r="X740" i="3"/>
  <c r="X741" i="3"/>
  <c r="M832" i="3"/>
  <c r="Q832" i="3"/>
  <c r="U832" i="3"/>
  <c r="Y832" i="3"/>
  <c r="AC832" i="3"/>
  <c r="AG832" i="3"/>
  <c r="Z902" i="3"/>
  <c r="C70" i="13" l="1"/>
  <c r="J5" i="8"/>
  <c r="C42" i="13"/>
  <c r="F38" i="13"/>
  <c r="F96" i="13"/>
  <c r="S104" i="4"/>
  <c r="BA1058" i="3" s="1"/>
  <c r="C77" i="13"/>
  <c r="C62" i="13"/>
  <c r="C54" i="13"/>
  <c r="C81" i="13"/>
  <c r="F54" i="13"/>
  <c r="C38" i="13"/>
  <c r="C96" i="13"/>
  <c r="T11" i="4"/>
  <c r="H11" i="13" s="1"/>
  <c r="B26" i="4"/>
  <c r="S70" i="4"/>
  <c r="E70" i="13" s="1"/>
  <c r="S38" i="4"/>
  <c r="E38" i="13" s="1"/>
  <c r="S42" i="4"/>
  <c r="E42" i="13" s="1"/>
  <c r="S81" i="4"/>
  <c r="E81" i="13" s="1"/>
  <c r="S54" i="4"/>
  <c r="E54" i="13" s="1"/>
  <c r="E40" i="13"/>
  <c r="F40" i="13" s="1"/>
  <c r="F42" i="13" s="1"/>
  <c r="E80" i="13"/>
  <c r="F80" i="13" s="1"/>
  <c r="F81" i="13" s="1"/>
  <c r="D35" i="11"/>
  <c r="E65" i="13"/>
  <c r="F65" i="13" s="1"/>
  <c r="F70" i="13" s="1"/>
  <c r="S96" i="4"/>
  <c r="E96" i="13" s="1"/>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6" i="3" s="1"/>
  <c r="AM566" i="3" s="1"/>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F97" i="13" s="1"/>
  <c r="F105" i="13" s="1"/>
  <c r="F107" i="13" s="1"/>
  <c r="T63" i="4"/>
  <c r="J40" i="8"/>
  <c r="Z809" i="3" s="1"/>
  <c r="C63" i="13"/>
  <c r="C97" i="13" s="1"/>
  <c r="C105" i="13" s="1"/>
  <c r="E104" i="13"/>
  <c r="S63" i="4"/>
  <c r="E63"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E97" i="13" s="1"/>
  <c r="O22" i="21"/>
  <c r="P22" i="21" s="1" a="1"/>
  <c r="P22" i="21" s="1"/>
  <c r="S22" i="21" s="1"/>
  <c r="O24" i="21"/>
  <c r="P24" i="21" s="1" a="1"/>
  <c r="P24" i="21" s="1"/>
  <c r="S24" i="21" s="1"/>
  <c r="O23" i="21"/>
  <c r="P23" i="21" s="1" a="1"/>
  <c r="P23" i="21" s="1"/>
  <c r="S23" i="21" s="1"/>
  <c r="O21" i="21"/>
  <c r="P21" i="21" s="1" a="1"/>
  <c r="P21" i="21" s="1"/>
  <c r="S21" i="21" s="1"/>
  <c r="D64" i="11"/>
  <c r="B105" i="4"/>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105" i="4" l="1"/>
  <c r="AZ1046" i="3"/>
  <c r="BA1056" i="3" s="1"/>
  <c r="AK191" i="20"/>
  <c r="T811" i="20" s="1"/>
  <c r="AF811" i="20" s="1"/>
  <c r="BE76" i="3" s="1"/>
  <c r="AB266" i="20"/>
  <c r="AG268" i="20" s="1"/>
  <c r="AG270" i="20" s="1"/>
  <c r="AK273" i="20" s="1"/>
  <c r="T812" i="20" s="1"/>
  <c r="AF812" i="20" s="1"/>
  <c r="BE77" i="3" s="1"/>
  <c r="AC454" i="3"/>
  <c r="AB47" i="15"/>
  <c r="AB49" i="15" s="1"/>
  <c r="AB54" i="15" s="1"/>
  <c r="AB55" i="15" s="1"/>
  <c r="N185" i="23"/>
  <c r="BE22" i="3"/>
  <c r="S107" i="4"/>
  <c r="E105" i="1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13" i="3"/>
  <c r="AJ1041" i="3"/>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<sst xmlns="http://schemas.openxmlformats.org/spreadsheetml/2006/main" count="4958" uniqueCount="2724">
  <si>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</si>
  <si>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</si>
  <si>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</si>
  <si>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</si>
  <si>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</si>
  <si>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</si>
  <si>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</si>
  <si>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</si>
  <si>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</si>
  <si>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</si>
  <si>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</si>
  <si>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</si>
  <si>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</si>
  <si>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</si>
  <si>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</si>
  <si>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</si>
  <si>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</si>
  <si>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</si>
  <si>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</si>
  <si>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</si>
  <si>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</si>
  <si>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</si>
  <si>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</si>
  <si>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</si>
  <si>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</si>
  <si>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</si>
  <si>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</si>
  <si>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</si>
  <si>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</si>
  <si>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</si>
  <si>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</si>
  <si>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</si>
  <si>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</si>
  <si>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</si>
  <si>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</si>
  <si>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</si>
  <si>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</si>
  <si>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</si>
  <si>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</si>
  <si>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</si>
  <si>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</si>
  <si>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</si>
  <si>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</si>
  <si>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</si>
  <si>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</si>
  <si>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</si>
  <si>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</si>
  <si>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</si>
  <si>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</si>
  <si>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</si>
  <si>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</si>
  <si>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</si>
  <si>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</si>
  <si>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</si>
  <si>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</si>
  <si>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</si>
  <si>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</si>
  <si>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</si>
  <si>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</si>
  <si>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</si>
  <si>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</si>
  <si>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</si>
  <si>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</si>
  <si>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</si>
  <si>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</si>
  <si>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</si>
  <si>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</si>
  <si>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</si>
  <si>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</si>
  <si>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</si>
  <si>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</si>
  <si>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</si>
  <si>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</si>
  <si>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</si>
  <si>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</si>
  <si>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</si>
  <si>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</si>
  <si>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</si>
  <si>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</si>
  <si>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</si>
  <si>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</si>
  <si>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</si>
  <si>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</si>
  <si>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</si>
  <si>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</si>
  <si>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</si>
  <si>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</si>
  <si>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</si>
  <si>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</si>
  <si>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</si>
  <si>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</si>
  <si>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</si>
  <si>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</si>
  <si>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</si>
  <si>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</si>
  <si>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</si>
  <si>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</si>
  <si>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</si>
  <si>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</si>
  <si>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</si>
  <si>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</si>
  <si>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</si>
  <si>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</si>
  <si>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</si>
  <si>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</si>
  <si>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</si>
  <si>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</si>
  <si>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</si>
  <si>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</si>
  <si>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</si>
  <si>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</si>
  <si>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</si>
  <si>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</si>
  <si>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</si>
  <si>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</si>
  <si>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</si>
  <si>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</si>
  <si>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</si>
  <si>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</si>
  <si>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</si>
  <si>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</si>
  <si>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</si>
  <si>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</si>
  <si>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</si>
  <si>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</si>
  <si>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</si>
  <si>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</si>
  <si>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</si>
  <si>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</si>
  <si>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</si>
  <si>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</si>
  <si>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</si>
  <si>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</si>
  <si>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</si>
  <si>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</si>
  <si>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</si>
  <si>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</si>
  <si>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</si>
  <si>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</si>
  <si>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</si>
  <si>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</si>
  <si>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</si>
  <si>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</si>
  <si>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</si>
  <si>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</si>
  <si>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</si>
  <si>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</si>
  <si>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</si>
  <si>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</si>
  <si>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</si>
  <si>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</si>
  <si>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</si>
  <si>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</si>
  <si>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</si>
  <si>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</si>
  <si>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</si>
  <si>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</si>
  <si>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</si>
  <si>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</si>
  <si>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</si>
  <si>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</si>
  <si>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</si>
  <si>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</si>
  <si>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</si>
  <si>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</si>
  <si>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</si>
  <si>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</si>
  <si>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</si>
  <si>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</si>
  <si>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</si>
  <si>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</si>
  <si>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</si>
  <si>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</si>
  <si>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</si>
  <si>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</si>
  <si>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</si>
  <si>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</si>
  <si>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</si>
  <si>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</si>
  <si>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</si>
  <si>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</si>
  <si>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</si>
  <si>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</si>
  <si>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</si>
  <si>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</si>
  <si>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</si>
  <si>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</si>
  <si>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</si>
  <si>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</si>
  <si>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</si>
  <si>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</si>
  <si>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</si>
  <si>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</si>
  <si>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</si>
  <si>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</si>
  <si>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</si>
  <si>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</si>
  <si>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</si>
  <si>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</si>
  <si>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</si>
  <si>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</si>
  <si>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</si>
  <si>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</si>
  <si>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</si>
  <si>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</si>
  <si>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</si>
  <si>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</si>
  <si>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</si>
  <si>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</si>
  <si>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</si>
  <si>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</si>
  <si>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</si>
  <si>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</si>
  <si>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</si>
  <si>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</si>
  <si>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</si>
  <si>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</si>
  <si>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</si>
  <si>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</si>
  <si>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</si>
  <si>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</si>
  <si>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</si>
  <si>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</si>
  <si>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</si>
  <si>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</si>
  <si>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</si>
  <si>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</si>
  <si>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</si>
  <si>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</si>
  <si>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</si>
  <si>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</si>
  <si>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</si>
  <si>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</si>
  <si>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</si>
  <si>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</si>
  <si>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</si>
  <si>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</si>
  <si>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</si>
  <si>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</si>
  <si>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</si>
  <si>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</si>
  <si>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</si>
  <si>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</si>
  <si>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</si>
  <si>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</si>
  <si>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</si>
  <si>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</si>
  <si>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</si>
  <si>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</si>
  <si>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</si>
  <si>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</si>
  <si>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</si>
  <si>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</si>
  <si>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</si>
  <si>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</si>
  <si>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</si>
  <si>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</si>
  <si>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</si>
  <si>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</si>
  <si>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</si>
  <si>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</si>
  <si>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</si>
  <si>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</si>
  <si>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</si>
  <si>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</si>
  <si>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</si>
  <si>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</si>
  <si>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</si>
  <si>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</si>
  <si>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</si>
  <si>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</si>
  <si>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</si>
  <si>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</si>
  <si>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</si>
  <si>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</si>
  <si>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</si>
  <si>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</si>
  <si>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</si>
  <si>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</si>
  <si>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</si>
  <si>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</si>
  <si>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</si>
  <si>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</si>
  <si>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</si>
  <si>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</si>
  <si>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</si>
  <si>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</si>
  <si>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</si>
  <si>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</si>
  <si>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</si>
  <si>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</si>
  <si>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</si>
  <si>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</si>
  <si>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</si>
  <si>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</si>
  <si>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</si>
  <si>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</si>
  <si>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</si>
  <si>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</si>
  <si>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</si>
  <si>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</si>
  <si>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</si>
  <si>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</si>
  <si>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</si>
  <si>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</si>
  <si>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</si>
  <si>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</si>
  <si>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</si>
  <si>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</si>
  <si>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</si>
  <si>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</si>
  <si>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</si>
  <si>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</si>
  <si>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</si>
  <si>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</si>
  <si>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</si>
  <si>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</si>
  <si>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</si>
  <si>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</si>
  <si>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</si>
  <si>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</si>
  <si>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</si>
  <si>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</si>
  <si>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</si>
  <si>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</si>
  <si>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</si>
  <si>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</si>
  <si>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</si>
  <si>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</si>
  <si>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</si>
  <si>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</si>
  <si>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</si>
  <si>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</si>
  <si>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</si>
  <si>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</si>
  <si>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</si>
  <si>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</si>
  <si>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</si>
  <si>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</si>
  <si>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</si>
  <si>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</si>
  <si>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</si>
  <si>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</si>
  <si>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</si>
  <si>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</si>
  <si>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</si>
  <si>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</si>
  <si>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</si>
  <si>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</si>
  <si>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</si>
  <si>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</si>
  <si>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</si>
  <si>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</si>
  <si>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</si>
  <si>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</si>
  <si>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</si>
  <si>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</si>
  <si>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</si>
  <si>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</si>
  <si>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</si>
  <si>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</si>
  <si>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</si>
  <si>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</si>
  <si>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</si>
  <si>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</si>
  <si>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</si>
  <si>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</si>
  <si>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</si>
  <si>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</si>
  <si>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</si>
  <si>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</si>
  <si>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</si>
  <si>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</si>
  <si>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</si>
  <si>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</si>
  <si>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</si>
  <si>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</si>
  <si>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</si>
  <si>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</si>
  <si>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</si>
  <si>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</si>
  <si>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</si>
  <si>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</si>
  <si>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</si>
  <si>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</si>
  <si>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</si>
  <si>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</si>
  <si>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</si>
  <si>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</si>
  <si>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</si>
  <si>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</si>
  <si>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</si>
  <si>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</si>
  <si>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</si>
  <si>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</si>
  <si>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</si>
  <si>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</si>
  <si>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</si>
  <si>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</si>
  <si>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</si>
  <si>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</si>
  <si>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</si>
  <si>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</si>
  <si>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</si>
  <si>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</si>
  <si>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</si>
  <si>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</si>
  <si>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</si>
  <si>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</si>
  <si>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</si>
  <si>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</si>
  <si>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</si>
  <si>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</si>
  <si>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</si>
  <si>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</si>
  <si>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</si>
  <si>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</si>
  <si>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</si>
  <si>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</si>
  <si>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</si>
  <si>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</si>
  <si>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</si>
  <si>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</si>
  <si>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</si>
  <si>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</si>
  <si>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</si>
  <si>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</si>
  <si>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</si>
  <si>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</si>
  <si>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</si>
  <si>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</si>
  <si>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</si>
  <si>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</si>
  <si>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</si>
  <si>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</si>
  <si>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</si>
  <si>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</si>
  <si>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</si>
  <si>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</si>
  <si>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</si>
  <si>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</si>
  <si>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</si>
  <si>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</si>
  <si>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</si>
  <si>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</si>
  <si>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</si>
  <si>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</si>
  <si>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</si>
  <si>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</si>
  <si>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</si>
  <si>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</si>
  <si>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</si>
  <si>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</si>
  <si>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</si>
  <si>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</si>
  <si>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</si>
  <si>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</si>
  <si>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</si>
  <si>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</si>
  <si>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</si>
  <si>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</si>
  <si>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</si>
  <si>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</si>
  <si>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</si>
  <si>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</si>
  <si>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</si>
  <si>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</si>
  <si>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</si>
  <si>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</si>
  <si>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</si>
  <si>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</si>
  <si>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</si>
  <si>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</si>
  <si>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</si>
  <si>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</si>
  <si>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</si>
  <si>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</si>
  <si>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</si>
  <si>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</si>
  <si>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</si>
  <si>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</si>
  <si>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</si>
  <si>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</si>
  <si>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</si>
  <si>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</si>
  <si>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</si>
  <si>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</si>
  <si>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</si>
  <si>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</si>
  <si>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</si>
  <si>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</si>
  <si>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</si>
  <si>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</si>
  <si>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</si>
  <si>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</si>
  <si>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</si>
  <si>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</si>
  <si>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</si>
  <si>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</si>
  <si>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</si>
  <si>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</si>
  <si>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</si>
  <si>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</si>
  <si>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</si>
  <si>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</si>
  <si>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</si>
  <si>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</si>
  <si>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</si>
  <si>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</si>
  <si>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</si>
  <si>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</si>
  <si>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</si>
  <si>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</si>
  <si>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</si>
  <si>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</si>
  <si>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</si>
  <si>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</si>
  <si>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</si>
  <si>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</si>
  <si>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</si>
  <si>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</si>
  <si>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</si>
  <si>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</si>
  <si>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</si>
  <si>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</si>
  <si>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</si>
  <si>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</si>
  <si>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</si>
  <si>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</si>
  <si>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</si>
  <si>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</si>
  <si>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</si>
  <si>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</si>
  <si>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</si>
  <si>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</si>
  <si>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</si>
  <si>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</si>
  <si>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</si>
  <si>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</si>
  <si>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</si>
  <si>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</si>
  <si>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</si>
  <si>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</si>
  <si>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</si>
  <si>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</si>
  <si>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</si>
  <si>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</si>
  <si>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</si>
  <si>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</si>
  <si>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</si>
  <si>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</si>
  <si>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</si>
  <si>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</si>
  <si>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</si>
  <si>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</si>
  <si>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</si>
  <si>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</si>
  <si>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</si>
  <si>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</si>
  <si>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</si>
  <si>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</si>
  <si>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</si>
  <si>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</si>
  <si>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</si>
  <si>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</si>
  <si>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</si>
  <si>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</si>
  <si>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</si>
  <si>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</si>
  <si>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</si>
  <si>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</si>
  <si>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</si>
  <si>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</si>
  <si>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</si>
  <si>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</si>
  <si>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</si>
  <si>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</si>
  <si>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</si>
  <si>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</si>
  <si>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</si>
  <si>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</si>
  <si>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</si>
  <si>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</si>
  <si>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</si>
  <si>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</si>
  <si>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</si>
  <si>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</si>
  <si>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</si>
  <si>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</si>
  <si>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</si>
  <si>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</si>
  <si>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</si>
  <si>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</si>
  <si>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</si>
  <si>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</si>
  <si>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</si>
  <si>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</si>
  <si>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</si>
  <si>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</si>
  <si>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</si>
  <si>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</si>
  <si>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</si>
  <si>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</si>
  <si>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</si>
  <si>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</si>
  <si>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</si>
  <si>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</si>
  <si>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</si>
  <si>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</si>
  <si>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</si>
  <si>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</si>
  <si>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</si>
  <si>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</si>
  <si>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</si>
  <si>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</si>
  <si>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</si>
  <si>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</si>
  <si>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</si>
  <si>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</si>
  <si>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</si>
  <si>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</si>
  <si>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</si>
  <si>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</si>
  <si>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</si>
  <si>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</si>
  <si>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</si>
  <si>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</si>
  <si>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</si>
  <si>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</si>
  <si>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</si>
  <si>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</si>
  <si>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</si>
  <si>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</si>
  <si>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</si>
  <si>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</si>
  <si>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</si>
  <si>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</si>
  <si>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</si>
  <si>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</si>
  <si>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</si>
  <si>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</si>
  <si>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</si>
  <si>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</si>
  <si>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</si>
  <si>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</si>
  <si>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</si>
  <si>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</si>
  <si>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</si>
  <si>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</si>
  <si>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</si>
  <si>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</si>
  <si>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</si>
  <si>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</si>
  <si>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</si>
  <si>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</si>
  <si>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</si>
  <si>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</si>
  <si>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</si>
  <si>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</si>
  <si>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</si>
  <si>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</si>
  <si>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</si>
  <si>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</si>
  <si>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</si>
  <si>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</si>
  <si>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</si>
  <si>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</si>
  <si>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</si>
  <si>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</si>
  <si>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</si>
  <si>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</si>
  <si>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</si>
  <si>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</si>
  <si>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</si>
  <si>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</si>
  <si>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</si>
  <si>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</si>
  <si>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</si>
  <si>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</si>
  <si>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</si>
  <si>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</si>
  <si>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</si>
  <si>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</si>
  <si>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</si>
  <si>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</si>
  <si>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</si>
  <si>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</si>
  <si>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</si>
  <si>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</si>
  <si>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</si>
  <si>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</si>
  <si>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</si>
  <si>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</si>
  <si>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</si>
  <si>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</si>
  <si>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</si>
  <si>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</si>
  <si>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</si>
  <si>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</si>
  <si>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</si>
  <si>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</si>
  <si>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</si>
  <si>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</si>
  <si>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</si>
  <si>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</si>
  <si>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</si>
  <si>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</si>
  <si>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</si>
  <si>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</si>
  <si>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</si>
  <si>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</si>
  <si>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</si>
  <si>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</si>
  <si>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</si>
  <si>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</si>
  <si>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</si>
  <si>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</si>
  <si>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</si>
  <si>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</si>
  <si>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</si>
  <si>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</si>
  <si>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</si>
  <si>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</si>
  <si>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</si>
  <si>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</si>
  <si>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</si>
  <si>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</si>
  <si>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</si>
  <si>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</si>
  <si>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</si>
  <si>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</si>
  <si>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</si>
  <si>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</si>
  <si>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</si>
  <si>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</si>
  <si>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</si>
  <si>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</si>
  <si>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</si>
  <si>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</si>
  <si>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</si>
  <si>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</si>
  <si>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</si>
  <si>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</si>
  <si>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</si>
  <si>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</si>
  <si>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</si>
  <si>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</si>
  <si>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</si>
  <si>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</si>
  <si>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</si>
  <si>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</si>
  <si>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</si>
  <si>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</si>
  <si>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</si>
  <si>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</si>
  <si>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</si>
  <si>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</si>
  <si>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</si>
  <si>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</si>
  <si>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</si>
  <si>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</si>
  <si>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</si>
  <si>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</si>
  <si>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</si>
  <si>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</si>
  <si>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</si>
  <si>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</si>
  <si>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</si>
  <si>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</si>
  <si>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</si>
  <si>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</si>
  <si>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</si>
  <si>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</si>
  <si>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</si>
  <si>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</si>
  <si>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</si>
  <si>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</si>
  <si>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</si>
  <si>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</si>
  <si>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</si>
  <si>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</si>
  <si>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</si>
  <si>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</si>
  <si>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</si>
  <si>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</si>
  <si>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</si>
  <si>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</si>
  <si>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</si>
  <si>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</si>
  <si>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</si>
  <si>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</si>
  <si>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</si>
  <si>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</si>
  <si>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</si>
  <si>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</si>
  <si>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</si>
  <si>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</si>
  <si>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</si>
  <si>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</si>
  <si>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</si>
  <si>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</si>
  <si>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</si>
  <si>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</si>
  <si>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</si>
  <si>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</si>
  <si>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</si>
  <si>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</si>
  <si>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</si>
  <si>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</si>
  <si>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</si>
  <si>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</si>
  <si>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</si>
  <si>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</si>
  <si>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</si>
  <si>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</si>
  <si>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</si>
  <si>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</si>
  <si>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</si>
  <si>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</si>
  <si>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</si>
  <si>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</si>
  <si>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</si>
  <si>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</si>
  <si>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</si>
  <si>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</si>
  <si>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</si>
  <si>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</si>
  <si>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</si>
  <si>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</si>
  <si>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</si>
  <si>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</si>
  <si>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</si>
  <si>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</si>
  <si>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</si>
  <si>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</si>
  <si>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</si>
  <si>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</si>
  <si>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</si>
  <si>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</si>
  <si>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</si>
  <si>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</si>
  <si>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</si>
  <si>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</si>
  <si>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</si>
  <si>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</si>
  <si>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</si>
  <si>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</si>
  <si>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</si>
  <si>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</si>
  <si>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</si>
  <si>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</si>
  <si>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</si>
  <si>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</si>
  <si>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</si>
  <si>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</si>
  <si>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</si>
  <si>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</si>
  <si>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</si>
  <si>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</si>
  <si>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</si>
  <si>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</si>
  <si>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</si>
  <si>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</si>
  <si>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</si>
  <si>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</si>
  <si>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</si>
  <si>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</si>
  <si>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</si>
  <si>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</si>
  <si>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</si>
  <si>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</si>
  <si>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</si>
  <si>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</si>
  <si>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</si>
  <si>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</si>
  <si>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</si>
  <si>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</si>
  <si>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</si>
  <si>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</si>
  <si>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</si>
  <si>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</si>
  <si>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</si>
  <si>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</si>
  <si>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</si>
  <si>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</si>
  <si>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</si>
  <si>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</si>
  <si>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</si>
  <si>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</si>
  <si>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</si>
  <si>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</si>
  <si>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</si>
  <si>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</si>
  <si>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</si>
  <si>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</si>
  <si>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</si>
  <si>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</si>
  <si>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</si>
  <si>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</si>
  <si>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</si>
  <si>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</si>
  <si>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</si>
  <si>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</si>
  <si>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</si>
  <si>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</si>
  <si>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</si>
  <si>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</si>
  <si>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</si>
  <si>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</si>
  <si>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</si>
  <si>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</si>
  <si>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</si>
  <si>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</si>
  <si>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</si>
  <si>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</si>
  <si>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</si>
  <si>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</si>
  <si>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</si>
  <si>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</si>
  <si>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</si>
  <si>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</si>
  <si>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</si>
  <si>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</si>
  <si>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</si>
  <si>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</si>
  <si>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</si>
  <si>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</si>
  <si>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</si>
  <si>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</si>
  <si>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</si>
  <si>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</si>
  <si>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</si>
  <si>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</si>
  <si>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</si>
  <si>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</si>
  <si>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</si>
  <si>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</si>
  <si>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</si>
  <si>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</si>
  <si>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</si>
  <si>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</si>
  <si>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</si>
  <si>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</si>
  <si>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</si>
  <si>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</si>
  <si>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</si>
  <si>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</si>
  <si>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</si>
  <si>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</si>
  <si>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</si>
  <si>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</si>
  <si>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</si>
  <si>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</si>
  <si>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</si>
  <si>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</si>
  <si>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</si>
  <si>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</si>
  <si>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</si>
  <si>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</si>
  <si>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</si>
  <si>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</si>
  <si>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</si>
  <si>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</si>
  <si>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</si>
  <si>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</si>
  <si>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</si>
  <si>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</si>
  <si>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</si>
  <si>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</si>
  <si>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</si>
  <si>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</si>
  <si>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</si>
  <si>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</si>
  <si>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</si>
  <si>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</si>
  <si>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</si>
  <si>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</si>
  <si>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</si>
  <si>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</si>
  <si>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</si>
  <si>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</si>
  <si>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</si>
  <si>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</si>
  <si>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</si>
  <si>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</si>
  <si>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</si>
  <si>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</si>
  <si>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</si>
  <si>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</si>
  <si>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</si>
  <si>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</si>
  <si>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</si>
  <si>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</si>
  <si>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</si>
  <si>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</si>
  <si>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</si>
  <si>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</si>
  <si>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</si>
  <si>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</si>
  <si>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</si>
  <si>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</si>
  <si>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</si>
  <si>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</si>
  <si>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</si>
  <si>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</si>
  <si>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</si>
  <si>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</si>
  <si>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</si>
  <si>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</si>
  <si>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</si>
  <si>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</si>
  <si>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</si>
  <si>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</si>
  <si>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</si>
  <si>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</si>
  <si>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</si>
  <si>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</si>
  <si>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</si>
  <si>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</si>
  <si>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</si>
  <si>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</si>
  <si>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</si>
  <si>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</si>
  <si>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</si>
  <si>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</si>
  <si>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</si>
  <si>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</si>
  <si>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</si>
  <si>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</si>
  <si>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</si>
  <si>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</si>
  <si>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</si>
  <si>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</si>
  <si>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</si>
  <si>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</si>
  <si>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</si>
  <si>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</si>
  <si>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</si>
  <si>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</si>
  <si>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</si>
  <si>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</si>
  <si>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</si>
  <si>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</si>
  <si>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</si>
  <si>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</si>
  <si>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</si>
  <si>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</si>
  <si>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</si>
  <si>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</si>
  <si>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</si>
  <si>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</si>
  <si>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</si>
  <si>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</si>
  <si>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</si>
  <si>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</si>
  <si>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</si>
  <si>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</si>
  <si>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</si>
  <si>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</si>
  <si>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</si>
  <si>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</si>
  <si>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</si>
  <si>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</si>
  <si>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</si>
  <si>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</si>
  <si>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</si>
  <si>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</si>
  <si>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</si>
  <si>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</si>
  <si>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</si>
  <si>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</si>
  <si>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</si>
  <si>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</si>
  <si>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</si>
  <si>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</si>
  <si>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</si>
  <si>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</si>
  <si>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</si>
  <si>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</si>
  <si>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</si>
  <si>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</si>
  <si>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</si>
  <si>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</si>
  <si>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</si>
  <si>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</si>
  <si>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</si>
  <si>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</si>
  <si>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</si>
  <si>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</si>
  <si>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</si>
  <si>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</si>
  <si>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</si>
  <si>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</si>
  <si>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</si>
  <si>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</si>
  <si>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</si>
  <si>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</si>
  <si>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</si>
  <si>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</si>
  <si>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</si>
  <si>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</si>
  <si>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</si>
  <si>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</si>
  <si>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</si>
  <si>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</si>
  <si>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</si>
  <si>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</si>
  <si>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</si>
  <si>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</si>
  <si>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</si>
  <si>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</si>
  <si>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</si>
  <si>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</si>
  <si>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</si>
  <si>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</si>
  <si>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</si>
  <si>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</si>
  <si>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</si>
  <si>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</si>
  <si>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</si>
  <si>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</si>
  <si>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</si>
  <si>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</si>
  <si>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</si>
  <si>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</si>
  <si>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</si>
  <si>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</si>
  <si>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</si>
  <si>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</si>
  <si>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</si>
  <si>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</si>
  <si>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</si>
  <si>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</si>
  <si>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</si>
  <si>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</si>
  <si>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</si>
  <si>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</si>
  <si>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</si>
  <si>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</si>
  <si>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</si>
  <si>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</si>
  <si>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</si>
  <si>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</si>
  <si>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</si>
  <si>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</si>
  <si>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</si>
  <si>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</si>
  <si>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</si>
  <si>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</si>
  <si>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</si>
  <si>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</si>
  <si>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</si>
  <si>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</si>
  <si>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</si>
  <si>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</si>
  <si>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</si>
  <si>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</si>
  <si>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</si>
  <si>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</si>
  <si>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</si>
  <si>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</si>
  <si>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</si>
  <si>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</si>
  <si>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</si>
  <si>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</si>
  <si>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</si>
  <si>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</si>
  <si>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</si>
  <si>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</si>
  <si>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</si>
  <si>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</si>
  <si>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</si>
  <si>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</si>
  <si>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</si>
  <si>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</si>
  <si>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</si>
  <si>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</si>
  <si>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</si>
  <si>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</si>
  <si>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</si>
  <si>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</si>
  <si>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</si>
  <si>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</si>
  <si>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</si>
  <si>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</si>
  <si>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</si>
  <si>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</si>
  <si>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</si>
  <si>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</si>
  <si>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</si>
  <si>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</si>
  <si>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</si>
  <si>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</si>
  <si>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</si>
  <si>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</si>
  <si>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</si>
  <si>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</si>
  <si>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</si>
  <si>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</si>
  <si>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</si>
  <si>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</si>
  <si>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</si>
  <si>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</si>
  <si>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</si>
  <si>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</si>
  <si>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</si>
  <si>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</si>
  <si>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</si>
  <si>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</si>
  <si>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</si>
  <si>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</si>
  <si>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</si>
  <si>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</si>
  <si>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</si>
  <si>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</si>
  <si>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</si>
  <si>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</si>
  <si>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</si>
  <si>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</si>
  <si>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</si>
  <si>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</si>
  <si>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</si>
  <si>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</si>
  <si>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</si>
  <si>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</si>
  <si>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</si>
  <si>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</si>
  <si>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</si>
  <si>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</si>
  <si>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</si>
  <si>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</si>
  <si>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</si>
  <si>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</si>
  <si>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</si>
  <si>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</si>
  <si>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</si>
  <si>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</si>
  <si>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</si>
  <si>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</si>
  <si>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</si>
  <si>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</si>
  <si>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</si>
  <si>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</si>
  <si>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</si>
  <si>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</si>
  <si>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</si>
  <si>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</si>
  <si>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</si>
  <si>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</si>
  <si>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</si>
  <si>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</si>
  <si>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</si>
  <si>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</si>
  <si>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</si>
  <si>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</si>
  <si>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</si>
  <si>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</si>
  <si>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</si>
  <si>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</si>
  <si>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</si>
  <si>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</si>
  <si>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</si>
  <si>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</si>
  <si>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</si>
  <si>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</si>
  <si>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</si>
  <si>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</si>
  <si>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</si>
  <si>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</si>
  <si>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</si>
  <si>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</si>
  <si>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</si>
  <si>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</si>
  <si>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</si>
  <si>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</si>
  <si>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</si>
  <si>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</si>
  <si>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</si>
  <si>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</si>
  <si>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</si>
  <si>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</si>
  <si>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</si>
  <si>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</si>
  <si>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</si>
  <si>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</si>
  <si>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</si>
  <si>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</si>
  <si>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</si>
  <si>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</si>
  <si>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</si>
  <si>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</si>
  <si>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</si>
  <si>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</si>
  <si>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</si>
  <si>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</si>
  <si>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</si>
  <si>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</si>
  <si>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</si>
  <si>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</si>
  <si>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</si>
  <si>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</si>
  <si>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</si>
  <si>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</si>
  <si>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</si>
  <si>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</si>
  <si>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</si>
  <si>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</si>
  <si>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</si>
  <si>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</si>
  <si>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</si>
  <si>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</si>
  <si>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</si>
  <si>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</si>
  <si>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</si>
  <si>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</si>
  <si>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</si>
  <si>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</si>
  <si>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</si>
  <si>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</si>
  <si>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</si>
  <si>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</si>
  <si>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</si>
  <si>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</si>
  <si>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</si>
  <si>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</si>
  <si>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</si>
  <si>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</si>
  <si>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</si>
  <si>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</si>
  <si>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</si>
  <si>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</si>
  <si>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</si>
  <si>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</si>
  <si>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</si>
  <si>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</si>
  <si>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</si>
  <si>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</si>
  <si>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</si>
  <si>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</si>
  <si>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</si>
  <si>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</si>
  <si>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</si>
  <si>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</si>
  <si>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</si>
  <si>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</si>
  <si>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</si>
  <si>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</si>
  <si>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</si>
  <si>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</si>
  <si>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</si>
  <si>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</si>
  <si>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</si>
  <si>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</si>
  <si>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</si>
  <si>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</si>
  <si>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</si>
  <si>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</si>
  <si>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</si>
  <si>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</si>
  <si>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</si>
  <si>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</si>
  <si>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</si>
  <si>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</si>
  <si>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</si>
  <si>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</si>
  <si>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</si>
  <si>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</si>
  <si>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</si>
  <si>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</si>
  <si>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</si>
  <si>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</si>
  <si>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</si>
  <si>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</si>
  <si>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</si>
  <si>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</si>
  <si>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</si>
  <si>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</si>
  <si>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</si>
  <si>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</si>
  <si>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</si>
  <si>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</si>
  <si>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</si>
  <si>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</si>
  <si>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</si>
  <si>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</si>
  <si>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</si>
  <si>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</si>
  <si>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</si>
  <si>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</si>
  <si>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</si>
  <si>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</si>
  <si>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</si>
  <si>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</si>
  <si>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</si>
  <si>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</si>
  <si>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</si>
  <si>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</si>
  <si>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</si>
  <si>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</si>
  <si>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</si>
  <si>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</si>
  <si>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</si>
  <si>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</si>
  <si>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</si>
  <si>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</si>
  <si>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</si>
  <si>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</si>
  <si>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</si>
  <si>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</si>
  <si>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</si>
  <si>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</si>
  <si>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</si>
  <si>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</si>
  <si>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</si>
  <si>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</si>
  <si>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</si>
  <si>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</si>
  <si>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</si>
  <si>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</si>
  <si>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</si>
  <si>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</si>
  <si>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</si>
  <si>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</si>
  <si>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</si>
  <si>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</si>
  <si>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</si>
  <si>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</si>
  <si>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</si>
  <si>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</si>
  <si>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</si>
  <si>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</si>
  <si>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</si>
  <si>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</si>
  <si>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</si>
  <si>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</si>
  <si>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</si>
  <si>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</si>
  <si>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</si>
  <si>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</si>
  <si>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</si>
  <si>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</si>
  <si>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</si>
  <si>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</si>
  <si>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</si>
  <si>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</si>
  <si>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</si>
  <si>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</si>
  <si>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</si>
  <si>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</si>
  <si>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</si>
  <si>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</si>
  <si>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</si>
  <si>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</si>
  <si>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</si>
  <si>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</si>
  <si>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</si>
  <si>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</si>
  <si>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</si>
  <si>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</si>
  <si>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</si>
  <si>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</si>
  <si>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</si>
  <si>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</si>
  <si>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</si>
  <si>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</si>
  <si>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</si>
  <si>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</si>
  <si>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</si>
  <si>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</si>
  <si>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</si>
  <si>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</si>
  <si>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</si>
  <si>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</si>
  <si>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</si>
  <si>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</si>
  <si>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</si>
  <si>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</si>
  <si>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</si>
  <si>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</si>
  <si>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</si>
  <si>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</si>
  <si>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</si>
  <si>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</si>
  <si>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</si>
  <si>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</si>
  <si>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</si>
  <si>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</si>
  <si>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</si>
  <si>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</si>
  <si>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</si>
  <si>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</si>
  <si>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</si>
  <si>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</si>
  <si>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</si>
  <si>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</si>
  <si>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</si>
  <si>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</si>
  <si>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</si>
  <si>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</si>
  <si>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</si>
  <si>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</si>
  <si>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</si>
  <si>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</si>
  <si>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</si>
  <si>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</si>
  <si>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</si>
  <si>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</si>
  <si>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</si>
  <si>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</si>
  <si>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</si>
  <si>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</si>
  <si>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</si>
  <si>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</si>
  <si>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</si>
  <si>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</si>
  <si>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</si>
  <si>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</si>
  <si>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</si>
  <si>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</si>
  <si>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</si>
  <si>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</si>
  <si>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</si>
  <si>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</si>
  <si>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</si>
  <si>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</si>
  <si>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</si>
  <si>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</si>
  <si>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</si>
  <si>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</si>
  <si>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</si>
  <si>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</si>
  <si>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</si>
  <si>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</si>
  <si>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</si>
  <si>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</si>
  <si>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</si>
  <si>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</si>
  <si>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</si>
  <si>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</si>
  <si>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</si>
  <si>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</si>
  <si>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</si>
  <si>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</si>
  <si>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</si>
  <si>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</si>
  <si>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</si>
  <si>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</si>
  <si>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</si>
  <si>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</si>
  <si>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</si>
  <si>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</si>
  <si>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</si>
  <si>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</si>
  <si>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</si>
  <si>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</si>
  <si>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</si>
  <si>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</si>
  <si>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</si>
  <si>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</si>
  <si>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</si>
  <si>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</si>
  <si>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</si>
  <si>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</si>
  <si>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</si>
  <si>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</si>
  <si>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</si>
  <si>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</si>
  <si>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</si>
  <si>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</si>
  <si>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</si>
  <si>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</si>
  <si>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</si>
  <si>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</si>
  <si>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</si>
  <si>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</si>
  <si>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</si>
  <si>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</si>
  <si>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</si>
  <si>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</si>
  <si>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</si>
  <si>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</si>
  <si>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</si>
  <si>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</si>
  <si>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</si>
  <si>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</si>
  <si>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</si>
  <si>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</si>
  <si>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</si>
  <si>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</si>
  <si>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</si>
  <si>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</si>
  <si>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</si>
  <si>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</si>
  <si>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</si>
  <si>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</si>
  <si>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</si>
  <si>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</si>
  <si>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</si>
  <si>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</si>
  <si>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</si>
  <si>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</si>
  <si>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</si>
  <si>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</si>
  <si>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</si>
  <si>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</si>
  <si>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</si>
  <si>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</si>
  <si>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</si>
  <si>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</si>
  <si>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</si>
  <si>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</si>
  <si>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</si>
  <si>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</si>
  <si>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</si>
  <si>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</si>
  <si>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</si>
  <si>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</si>
  <si>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</si>
  <si>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</si>
  <si>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</si>
  <si>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</si>
  <si>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</si>
  <si>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</si>
  <si>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</si>
  <si>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</si>
  <si>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</si>
  <si>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</si>
  <si>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</si>
  <si>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</si>
  <si>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</si>
  <si>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</si>
  <si>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</si>
  <si>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</si>
  <si>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</si>
  <si>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</si>
  <si>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</si>
  <si>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</si>
  <si>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</si>
  <si>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</si>
  <si>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</si>
  <si>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</si>
  <si>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</si>
  <si>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</si>
  <si>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</si>
  <si>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</si>
  <si>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</si>
  <si>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</si>
  <si>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</si>
  <si>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</si>
  <si>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</si>
  <si>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</si>
  <si>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</si>
  <si>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</si>
  <si>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</si>
  <si>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</si>
  <si>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</si>
  <si>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</si>
  <si>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</si>
  <si>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</si>
  <si>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</si>
  <si>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</si>
  <si>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</si>
  <si>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</si>
  <si>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</si>
  <si>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</si>
  <si>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</si>
  <si>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</si>
  <si>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</si>
  <si>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</si>
  <si>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</si>
  <si>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</si>
  <si>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</si>
  <si>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</si>
  <si>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</si>
  <si>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</si>
  <si>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</si>
  <si>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</si>
  <si>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</si>
  <si>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</si>
  <si>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</si>
  <si>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</si>
  <si>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</si>
  <si>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</si>
  <si>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</si>
  <si>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</si>
  <si>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</si>
  <si>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</si>
  <si>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</si>
  <si>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</si>
  <si>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</si>
  <si>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</si>
  <si>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</si>
  <si>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</si>
  <si>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</si>
  <si>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</si>
  <si>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</si>
  <si>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</si>
  <si>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</si>
  <si>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</si>
  <si>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</si>
  <si>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</si>
  <si>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</si>
  <si>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</si>
  <si>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</si>
  <si>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</si>
  <si>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</si>
  <si>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</si>
  <si>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</si>
  <si>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</si>
  <si>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</si>
  <si>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</si>
  <si>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</si>
  <si>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</si>
  <si>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</si>
  <si>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</si>
  <si>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</si>
  <si>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</si>
  <si>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</si>
  <si>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</si>
  <si>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</si>
  <si>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</si>
  <si>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</si>
  <si>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</si>
  <si>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</si>
  <si>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</si>
  <si>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</si>
  <si>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</si>
  <si>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</si>
  <si>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</si>
  <si>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</si>
  <si>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</si>
  <si>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</si>
  <si>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</si>
  <si>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</si>
  <si>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</si>
  <si>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</si>
  <si>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</si>
  <si>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</si>
  <si>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</si>
  <si>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</si>
  <si>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</si>
  <si>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</si>
  <si>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</si>
  <si>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</si>
  <si>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</si>
  <si>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</si>
  <si>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</si>
  <si>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</si>
  <si>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</si>
  <si>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</si>
  <si>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</si>
  <si>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</si>
  <si>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</si>
  <si>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</si>
  <si>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</si>
  <si>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</si>
  <si>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</si>
  <si>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</si>
  <si>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</si>
  <si>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</si>
  <si>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</si>
  <si>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</si>
  <si>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</si>
  <si>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</si>
  <si>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</si>
  <si>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</si>
  <si>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</si>
  <si>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</si>
  <si>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</si>
  <si>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</si>
  <si>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</si>
  <si>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</si>
  <si>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</si>
  <si>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</si>
  <si>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</si>
  <si>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</si>
  <si>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</si>
  <si>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</si>
  <si>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</si>
  <si>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</si>
  <si>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</si>
  <si>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</si>
  <si>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</si>
  <si>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</si>
  <si>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</si>
  <si>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</si>
  <si>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</si>
  <si>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</si>
  <si>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</si>
  <si>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</si>
  <si>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</si>
  <si>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</si>
  <si>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</si>
  <si>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</si>
  <si>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</si>
  <si>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</si>
  <si>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</si>
  <si>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</si>
  <si>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</si>
  <si>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</si>
  <si>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</si>
  <si>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</si>
  <si>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</si>
  <si>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</si>
  <si>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</si>
  <si>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</si>
  <si>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</si>
  <si>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</si>
  <si>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</si>
  <si>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</si>
  <si>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</si>
  <si>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</si>
  <si>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</si>
  <si>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</si>
  <si>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</si>
  <si>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</si>
  <si>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</si>
  <si>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</si>
  <si>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</si>
  <si>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</si>
  <si>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</si>
  <si>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</si>
  <si>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</si>
  <si>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</si>
  <si>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</si>
  <si>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</si>
  <si>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</si>
  <si>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</si>
  <si>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</si>
  <si>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</si>
  <si>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</si>
  <si>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</si>
  <si>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</si>
  <si>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</si>
  <si>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</si>
  <si>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</si>
  <si>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</si>
  <si>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</si>
  <si>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</si>
  <si>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</si>
  <si>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</si>
  <si>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</si>
  <si>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</si>
  <si>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</si>
  <si>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</si>
  <si>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</si>
  <si>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</si>
  <si>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</si>
  <si>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</si>
  <si>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</si>
  <si>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</si>
  <si>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</si>
  <si>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</si>
  <si>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</si>
  <si>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</si>
  <si>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</si>
  <si>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</si>
  <si>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</si>
  <si>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</si>
  <si>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</si>
  <si>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</si>
  <si>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</si>
  <si>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</si>
  <si>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</si>
  <si>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</si>
  <si>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</si>
  <si>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</si>
  <si>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</si>
  <si>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</si>
  <si>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</si>
  <si>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</si>
  <si>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</si>
  <si>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</si>
  <si>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</si>
  <si>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</si>
  <si>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</si>
  <si>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</si>
  <si>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</si>
  <si>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</si>
  <si>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</si>
  <si>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</si>
  <si>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</si>
  <si>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</si>
  <si>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</si>
  <si>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</si>
  <si>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</si>
  <si>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</si>
  <si>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</si>
  <si>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</si>
  <si>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</si>
  <si>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</si>
  <si>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</si>
  <si>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</si>
  <si>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</si>
  <si>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</si>
  <si>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</si>
  <si>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</si>
  <si>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</si>
  <si>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</si>
  <si>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</si>
  <si>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</si>
  <si>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</si>
  <si>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</si>
  <si>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</si>
  <si>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</si>
  <si>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</si>
  <si>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</si>
  <si>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</si>
  <si>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</si>
  <si>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</si>
  <si>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</si>
  <si>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</si>
  <si>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</si>
  <si>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</si>
  <si>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</si>
  <si>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</si>
  <si>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</si>
  <si>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</si>
  <si>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</si>
  <si>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</si>
  <si>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</si>
  <si>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</si>
  <si>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</si>
  <si>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</si>
  <si>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</si>
  <si>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</si>
  <si>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</si>
  <si>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</si>
  <si>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</si>
  <si>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</si>
  <si>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</si>
  <si>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</si>
  <si>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</si>
  <si>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</si>
  <si>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</si>
  <si>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</si>
  <si>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</si>
  <si>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</si>
  <si>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</si>
  <si>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</si>
  <si>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</si>
  <si>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</si>
  <si>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</si>
  <si>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</si>
  <si>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</si>
  <si>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</si>
  <si>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</si>
  <si>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</si>
  <si>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</si>
  <si>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</si>
  <si>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</si>
  <si>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</si>
  <si>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</si>
  <si>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</si>
  <si>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</si>
  <si>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</si>
  <si>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</si>
  <si>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</si>
  <si>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</si>
  <si>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</si>
  <si>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</si>
  <si>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</si>
  <si>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</si>
  <si>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</si>
  <si>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</si>
  <si>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</si>
  <si>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</si>
  <si>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</si>
  <si>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</si>
  <si>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</si>
  <si>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</si>
  <si>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</si>
  <si>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</si>
  <si>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</si>
  <si>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</si>
  <si>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</si>
  <si>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</si>
  <si>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</si>
  <si>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</si>
  <si>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</si>
  <si>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</si>
  <si>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</si>
  <si>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</si>
  <si>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</si>
  <si>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</si>
  <si>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</si>
  <si>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</si>
  <si>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</si>
  <si>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</si>
  <si>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</si>
  <si>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</si>
  <si>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</si>
  <si>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</si>
  <si>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</si>
  <si>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</si>
  <si>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</si>
  <si>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</si>
  <si>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</si>
  <si>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</si>
  <si>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</si>
  <si>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</si>
  <si>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</si>
  <si>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</si>
  <si>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</si>
  <si>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</si>
  <si>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</si>
  <si>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</si>
  <si>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</si>
  <si>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</si>
  <si>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</si>
  <si>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</si>
  <si>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</si>
  <si>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</si>
  <si>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</si>
  <si>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</si>
  <si>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</si>
  <si>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</si>
  <si>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</si>
  <si>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</si>
  <si>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</si>
  <si>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</si>
  <si>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</si>
  <si>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</si>
  <si>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</si>
  <si>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</si>
  <si>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</si>
  <si>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</si>
  <si>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</si>
  <si>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</si>
  <si>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</si>
  <si>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</si>
  <si>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</si>
  <si>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</si>
  <si>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</si>
  <si>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</si>
  <si>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</si>
  <si>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</si>
  <si>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</si>
  <si>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</si>
  <si>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</si>
  <si>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</si>
  <si>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</si>
  <si>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</si>
  <si>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</si>
  <si>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</si>
  <si>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</si>
  <si>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</si>
  <si>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</si>
  <si>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</si>
  <si>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</si>
  <si>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</si>
  <si>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</si>
  <si>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</si>
  <si>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</si>
  <si>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</si>
  <si>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</si>
  <si>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</si>
  <si>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</si>
  <si>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</si>
  <si>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</si>
  <si>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</si>
  <si>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</si>
  <si>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</si>
  <si>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</si>
  <si>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</si>
  <si>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</si>
  <si>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</si>
  <si>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</si>
  <si>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</si>
  <si>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</si>
  <si>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</si>
  <si>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</si>
  <si>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</si>
  <si>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</si>
  <si>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</si>
  <si>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</si>
  <si>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</si>
  <si>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</si>
  <si>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</si>
  <si>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</si>
  <si>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</si>
  <si>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</si>
  <si>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</si>
  <si>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</si>
  <si>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</si>
  <si>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</si>
  <si>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</si>
  <si>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</si>
  <si>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</si>
  <si>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</si>
  <si>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</si>
  <si>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</si>
  <si>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</si>
  <si>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</si>
  <si>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</si>
  <si>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</si>
  <si>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</si>
  <si>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</si>
  <si>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</si>
  <si>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</si>
  <si>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</si>
  <si>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</si>
  <si>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</si>
  <si>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</si>
  <si>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</si>
  <si>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</si>
  <si>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</si>
  <si>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</si>
  <si>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</si>
  <si>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</si>
  <si>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</si>
  <si>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</si>
  <si>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</si>
  <si>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</si>
  <si>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</si>
  <si>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</si>
  <si>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</si>
  <si>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</si>
  <si>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</si>
  <si>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</si>
  <si>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</si>
  <si>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</si>
  <si>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</si>
  <si>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</si>
  <si>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</si>
  <si>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</si>
  <si>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</si>
  <si>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</si>
  <si>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</si>
  <si>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</si>
  <si>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</si>
  <si>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</si>
  <si>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</si>
  <si>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</si>
  <si>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</si>
  <si>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</si>
  <si>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</si>
  <si>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</si>
  <si>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</si>
  <si>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</si>
  <si>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</si>
  <si>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</si>
  <si>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</si>
  <si>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</si>
  <si>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</si>
  <si>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</si>
  <si>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</si>
  <si>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</si>
  <si>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</si>
  <si>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</si>
  <si>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</si>
  <si>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</si>
  <si>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</si>
  <si>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</si>
  <si>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</si>
  <si>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</si>
  <si>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</si>
  <si>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</si>
  <si>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</si>
  <si>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</si>
  <si>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</si>
  <si>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</si>
  <si>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</si>
  <si>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</si>
  <si>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</si>
  <si>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</si>
  <si>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</si>
  <si>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</si>
  <si>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</si>
  <si>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</si>
  <si>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</si>
  <si>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</si>
  <si>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</si>
  <si>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</si>
  <si>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</si>
  <si>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</si>
  <si>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</si>
  <si>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</si>
  <si>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</si>
  <si>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</si>
  <si>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</si>
  <si>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</si>
  <si>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</si>
  <si>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</si>
  <si>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</si>
  <si>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</si>
  <si>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</si>
  <si>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</si>
  <si>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</si>
  <si>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</si>
  <si>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</si>
  <si>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</si>
  <si>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</si>
  <si>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</si>
  <si>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</si>
  <si>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</si>
  <si>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</si>
  <si>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</si>
  <si>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</si>
  <si>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</si>
  <si>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</si>
  <si>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</si>
  <si>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</si>
  <si>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</si>
  <si>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</si>
  <si>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</si>
  <si>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</si>
  <si>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</si>
  <si>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</si>
  <si>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</si>
  <si>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</si>
  <si>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</si>
  <si>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</si>
  <si>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</si>
  <si>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</si>
  <si>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</si>
  <si>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</si>
  <si>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</si>
  <si>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</si>
  <si>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</si>
  <si>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</si>
  <si>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</si>
  <si>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</si>
  <si>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</si>
  <si>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</si>
  <si>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</si>
  <si>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</si>
  <si>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</si>
  <si>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</si>
  <si>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</si>
  <si>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</si>
  <si>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</si>
  <si>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</si>
  <si>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</si>
  <si>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</si>
  <si>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</si>
  <si>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</si>
  <si>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</si>
  <si>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</si>
  <si>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</si>
  <si>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</si>
  <si>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</si>
  <si>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</si>
  <si>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</si>
  <si>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</si>
  <si>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</si>
  <si>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</si>
  <si>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</si>
  <si>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</si>
  <si>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</si>
  <si>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</si>
  <si>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</si>
  <si>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</si>
  <si>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</si>
  <si>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</si>
  <si>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</si>
  <si>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</si>
  <si>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</si>
  <si>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</si>
  <si>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</si>
  <si>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</si>
  <si>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</si>
  <si>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</si>
  <si>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</si>
  <si>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</si>
  <si>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</si>
  <si>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</si>
  <si>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</si>
  <si>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</si>
  <si>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</si>
  <si>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</si>
  <si>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</si>
  <si>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</si>
  <si>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</si>
  <si>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</si>
  <si>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</si>
  <si>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</si>
  <si>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</si>
  <si>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</si>
  <si>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</si>
  <si>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</si>
  <si>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</si>
  <si>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</si>
  <si>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</si>
  <si>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</si>
  <si>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</si>
  <si>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</si>
  <si>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</si>
  <si>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</si>
  <si>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</si>
  <si>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</si>
  <si>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</si>
  <si>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</si>
  <si>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</si>
  <si>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</si>
  <si>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</si>
  <si>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</si>
  <si>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</si>
  <si>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</si>
  <si>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</si>
  <si>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</si>
  <si>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</si>
  <si>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</si>
  <si>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</si>
  <si>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</si>
  <si>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</si>
  <si>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</si>
  <si>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</si>
  <si>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</si>
  <si>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</si>
  <si>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</si>
  <si>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</si>
  <si>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</si>
  <si>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</si>
  <si>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</si>
  <si>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</si>
  <si>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</si>
  <si>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</si>
  <si>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</si>
  <si>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</si>
  <si>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</si>
  <si>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</si>
  <si>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</si>
  <si>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</si>
  <si>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</si>
  <si>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</si>
  <si>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</si>
  <si>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</si>
  <si>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</si>
  <si>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</si>
  <si>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</si>
  <si>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</si>
  <si>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</si>
  <si>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</si>
  <si>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</si>
  <si>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</si>
  <si>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</si>
  <si>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</si>
  <si>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</si>
  <si>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</si>
  <si>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</si>
  <si>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</si>
  <si>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</si>
  <si>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</si>
  <si>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</si>
  <si>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</si>
  <si>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</si>
  <si>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</si>
  <si>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</si>
  <si>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</si>
  <si>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</si>
  <si>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</si>
  <si>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</si>
  <si>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</si>
  <si>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</si>
  <si>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</si>
  <si>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</si>
  <si>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</si>
  <si>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</si>
  <si>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</si>
  <si>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</si>
  <si>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</si>
  <si>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</si>
  <si>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</si>
  <si>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</si>
  <si>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</si>
  <si>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</si>
  <si>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</si>
  <si>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</si>
  <si>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</si>
  <si>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</si>
  <si>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</si>
  <si>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</si>
  <si>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</si>
  <si>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</si>
  <si>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</si>
  <si>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</si>
  <si>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</si>
  <si>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</si>
  <si>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</si>
  <si>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</si>
  <si>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</si>
  <si>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</si>
  <si>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</si>
  <si>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</si>
  <si>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</si>
  <si>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</si>
  <si>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</si>
  <si>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</si>
  <si>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</si>
  <si>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</si>
  <si>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</si>
  <si>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</si>
  <si>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</si>
  <si>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</si>
  <si>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</si>
  <si>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</si>
  <si>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</si>
  <si>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</si>
  <si>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</si>
  <si>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</si>
  <si>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</si>
  <si>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</si>
  <si>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</si>
  <si>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</si>
  <si>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</si>
  <si>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</si>
  <si>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</si>
  <si>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</si>
  <si>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</si>
  <si>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</si>
  <si>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</si>
  <si>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</si>
  <si>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</si>
  <si>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</si>
  <si>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</si>
  <si>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</si>
  <si>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</si>
  <si>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</si>
  <si>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</si>
  <si>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</si>
  <si>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</si>
  <si>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</si>
  <si>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</si>
  <si>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</si>
  <si>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</si>
  <si>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</si>
  <si>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</si>
  <si>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</si>
  <si>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</si>
  <si>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</si>
  <si>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</si>
  <si>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</si>
  <si>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</si>
  <si>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</si>
  <si>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</si>
  <si>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</si>
  <si>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</si>
  <si>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</si>
  <si>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</si>
  <si>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</si>
  <si>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</si>
  <si>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</si>
  <si>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</si>
  <si>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</si>
  <si>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</si>
  <si>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</si>
  <si>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</si>
  <si>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</si>
  <si>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</si>
  <si>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</si>
  <si>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</si>
  <si>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</si>
  <si>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</si>
  <si>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</si>
  <si>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</si>
  <si>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</si>
  <si>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</si>
  <si>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</si>
  <si>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</si>
  <si>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</si>
  <si>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</si>
  <si>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</si>
  <si>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</si>
  <si>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</si>
  <si>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</si>
  <si>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</si>
  <si>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</si>
  <si>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</si>
  <si>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</si>
  <si>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</si>
  <si>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</si>
  <si>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</si>
  <si>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</si>
  <si>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</si>
  <si>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</si>
  <si>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</si>
  <si>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</si>
  <si>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</si>
  <si>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</si>
  <si>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</si>
  <si>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</si>
  <si>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</si>
  <si>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</si>
  <si>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</si>
  <si>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</si>
  <si>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</si>
  <si>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</si>
  <si>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</si>
  <si>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</si>
  <si>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</si>
  <si>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</si>
  <si>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</si>
  <si>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</si>
  <si>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</si>
  <si>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</si>
  <si>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</si>
  <si>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</si>
  <si>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</si>
  <si>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</si>
  <si>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</si>
  <si>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</si>
  <si>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</si>
  <si>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</si>
  <si>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</si>
  <si>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</si>
  <si>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</si>
  <si>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</si>
  <si>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</si>
  <si>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</si>
  <si>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</si>
  <si>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</si>
  <si>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</si>
  <si>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</si>
  <si>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</si>
  <si>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</si>
  <si>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</si>
  <si>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</si>
  <si>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</si>
  <si>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</si>
  <si>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</si>
  <si>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</si>
  <si>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</si>
  <si>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</si>
  <si>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</si>
  <si>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</si>
  <si>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</si>
  <si>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</si>
  <si>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</si>
  <si>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</si>
  <si>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</si>
  <si>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</si>
  <si>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</si>
  <si>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</si>
  <si>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</si>
  <si>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</si>
  <si>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</si>
  <si>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</si>
  <si>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</si>
  <si>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</si>
  <si>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</si>
  <si>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</si>
  <si>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</si>
  <si>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</si>
  <si>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</si>
  <si>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</si>
  <si>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</si>
  <si>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</si>
  <si>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</si>
  <si>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</si>
  <si>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</si>
  <si>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</si>
  <si>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</si>
  <si>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</si>
  <si>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</si>
  <si>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</si>
  <si>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</si>
  <si>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</si>
  <si>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</si>
  <si>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</si>
  <si>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</si>
  <si>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</si>
  <si>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</si>
  <si>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</si>
  <si>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</si>
  <si>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</si>
  <si>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</si>
  <si>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</si>
  <si>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</si>
  <si>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</si>
  <si>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</si>
  <si>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</si>
  <si>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</si>
  <si>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</si>
  <si>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</si>
  <si>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</si>
  <si>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</si>
  <si>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</si>
  <si>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</si>
  <si>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</si>
  <si>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</si>
  <si>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</si>
  <si>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</si>
  <si>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</si>
  <si>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</si>
  <si>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</si>
  <si>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</si>
  <si>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</si>
  <si>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</si>
  <si>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</si>
  <si>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</si>
  <si>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</si>
  <si>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</si>
  <si>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</si>
  <si>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</si>
  <si>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</si>
  <si>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</si>
  <si>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</si>
  <si>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</si>
  <si>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</si>
  <si>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</si>
  <si>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</si>
  <si>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</si>
  <si>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</si>
  <si>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</si>
  <si>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</si>
  <si>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</si>
  <si>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</si>
  <si>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</si>
  <si>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</si>
  <si>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</si>
  <si>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</si>
  <si>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 xml:space="preserve">Santa Cruz Veterans Village </t>
  </si>
  <si>
    <t xml:space="preserve">8705 Hwy 9 </t>
  </si>
  <si>
    <t xml:space="preserve">Ben Lomond </t>
  </si>
  <si>
    <t>078-273-15, 078-272-06</t>
  </si>
  <si>
    <t>40%/60%</t>
  </si>
  <si>
    <t xml:space="preserve">Santa Cruz Veterans Memorial Building Board of Trustees </t>
  </si>
  <si>
    <t>PO Box 1303</t>
  </si>
  <si>
    <t>CA</t>
  </si>
  <si>
    <t xml:space="preserve">Jack Tracy </t>
  </si>
  <si>
    <t>jackt1951@gmail.com</t>
  </si>
  <si>
    <t xml:space="preserve">Santa Cruz </t>
  </si>
  <si>
    <t xml:space="preserve">5251 Ericson Way </t>
  </si>
  <si>
    <t xml:space="preserve">Arcata </t>
  </si>
  <si>
    <t xml:space="preserve">Chris Dart </t>
  </si>
  <si>
    <t>cdart@danco-group.com</t>
  </si>
  <si>
    <t xml:space="preserve">Danco Communities </t>
  </si>
  <si>
    <t>Arcata</t>
  </si>
  <si>
    <t xml:space="preserve">Hailey Wilson </t>
  </si>
  <si>
    <t xml:space="preserve">hwilson@danco-group.com </t>
  </si>
  <si>
    <t>Developer</t>
  </si>
  <si>
    <t>Danco Communities</t>
  </si>
  <si>
    <t>5251 Ericson Way</t>
  </si>
  <si>
    <t>Arcata, CA 95521</t>
  </si>
  <si>
    <t>Chris Dart</t>
  </si>
  <si>
    <t>(707) 822-9000</t>
  </si>
  <si>
    <t>Nielsen Studios</t>
  </si>
  <si>
    <t>228-B Fern Street</t>
  </si>
  <si>
    <t>Santa Cruz, CA 95005</t>
  </si>
  <si>
    <t>Christian Nielsen</t>
  </si>
  <si>
    <t>cnielsen@nielsenarchitects.com</t>
  </si>
  <si>
    <t>Odu &amp; Associates</t>
  </si>
  <si>
    <t>31805 Temecula Pkwy #720</t>
  </si>
  <si>
    <t>Temecula, CA 92592-8203</t>
  </si>
  <si>
    <t>Nkechi Odu</t>
  </si>
  <si>
    <t>(310) 346-5491</t>
  </si>
  <si>
    <t>nkechi@odulaw.com</t>
  </si>
  <si>
    <t>Danco Builders Northwest</t>
  </si>
  <si>
    <t>5251 Ericson way</t>
  </si>
  <si>
    <t>(707) 825-1531</t>
  </si>
  <si>
    <t>(707) 822-9596</t>
  </si>
  <si>
    <t>Leavitt, Christensen &amp; Co., PLLC</t>
  </si>
  <si>
    <t>6149 N Meeker Pl #250</t>
  </si>
  <si>
    <t>Boise, ID 83713</t>
  </si>
  <si>
    <t>Ryan Leavitt</t>
  </si>
  <si>
    <t>(208) 287-5353</t>
  </si>
  <si>
    <t>ryan@leavittchristensen.com</t>
  </si>
  <si>
    <t>Redwood Energy</t>
  </si>
  <si>
    <t xml:space="preserve">1887 Q Street </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</si>
  <si>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</si>
  <si>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</si>
  <si>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</si>
  <si>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</si>
  <si>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</si>
  <si>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</si>
  <si>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</si>
  <si>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</si>
  <si>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</si>
  <si>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</si>
  <si>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</si>
  <si>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</si>
  <si>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</si>
  <si>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</si>
  <si>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</si>
  <si>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</si>
  <si>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</si>
  <si>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</si>
  <si>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</si>
  <si>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707-822-9596</t>
  </si>
  <si>
    <t>blairbrown@danco-group.com</t>
  </si>
  <si>
    <t>N/A Site is Owned</t>
  </si>
  <si>
    <t>Other (Specify below)</t>
  </si>
  <si>
    <t xml:space="preserve">Cabins that are a mix of studios, one bedrooms, two bedroom, and four bedroom units. </t>
  </si>
  <si>
    <t>Johnson &amp; Johnson Investments, LLC</t>
  </si>
  <si>
    <t>Ben Lomond Highway 9 LLC</t>
  </si>
  <si>
    <t xml:space="preserve">Homekey </t>
  </si>
  <si>
    <t>Boston Financial Tax Credit Equity</t>
  </si>
  <si>
    <t>Citi Bank Perm Loan</t>
  </si>
  <si>
    <t>Homekey</t>
  </si>
  <si>
    <t>Modulars</t>
  </si>
  <si>
    <t>Inspection Fees</t>
  </si>
  <si>
    <t xml:space="preserve">Cost of Issuance </t>
  </si>
  <si>
    <t xml:space="preserve">Borrowers Attorney </t>
  </si>
  <si>
    <t>COSR</t>
  </si>
  <si>
    <t xml:space="preserve">Financing Consultant </t>
  </si>
  <si>
    <t>County of Santa Cruz</t>
  </si>
  <si>
    <t>Carlos Nuno</t>
  </si>
  <si>
    <t>701 Ocean Street, Room 510</t>
  </si>
  <si>
    <t>carlos.nunoespinoza@santacruzcountyca.gov</t>
  </si>
  <si>
    <t>California Municipal Finance Authority</t>
  </si>
  <si>
    <t>2111 Palomar Airport Road, Suite 320</t>
  </si>
  <si>
    <t>Carlsbad, CA 92011</t>
  </si>
  <si>
    <t>Anthony Stubbs</t>
  </si>
  <si>
    <t>astubbs@cmfa-ca.com</t>
  </si>
  <si>
    <t>TBD</t>
  </si>
  <si>
    <t>N/A Owner to pay all utilities</t>
  </si>
  <si>
    <t>Citi Bank Tax Exempt Construction Loan</t>
  </si>
  <si>
    <t>HUD VASH</t>
  </si>
  <si>
    <t>Homekey - State Prevailing Wages</t>
  </si>
  <si>
    <t>Veterans</t>
  </si>
  <si>
    <t>Perm Soft Debt</t>
  </si>
  <si>
    <t>Two Embarcadero Center, 17th Floor</t>
  </si>
  <si>
    <t>San Francisco, CA 94111</t>
  </si>
  <si>
    <t>Jacob St. Onge</t>
  </si>
  <si>
    <t>415-658-3118</t>
  </si>
  <si>
    <t xml:space="preserve">Construction Loan </t>
  </si>
  <si>
    <t>202 W. El Camino Avenue, Suite 670</t>
  </si>
  <si>
    <t>Sacramento, CA 94252</t>
  </si>
  <si>
    <t>Jennifer Seeger</t>
  </si>
  <si>
    <t>Soft</t>
  </si>
  <si>
    <t xml:space="preserve">8335 Sunset Blvd, Ste 203 </t>
  </si>
  <si>
    <t>Equity</t>
  </si>
  <si>
    <t>Conventional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</si>
</sst>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6" fillId="5" borderId="3" xfId="0" applyFont="1" applyFill="1" applyBorder="1" applyAlignment="1" applyProtection="1">
      <alignment horizontal="center"/>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6" fillId="5" borderId="3" xfId="0" quotePrefix="1" applyNumberFormat="1" applyFon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 fontId="16" fillId="5" borderId="4" xfId="0" applyNumberFormat="1"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9" workbookViewId="0">
      <selection activeCell="H25" sqref="H2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1586</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9846764</v>
      </c>
      <c r="I3" s="1105"/>
    </row>
    <row r="4" spans="1:13" s="1051" customFormat="1" ht="20.100000000000001" customHeight="1">
      <c r="B4" s="1094"/>
      <c r="D4" s="1108"/>
      <c r="F4" s="1092" t="s">
        <v>1993</v>
      </c>
      <c r="G4" s="1091" t="s">
        <v>1992</v>
      </c>
      <c r="H4" s="1093">
        <f>I18</f>
        <v>11250670.587254902</v>
      </c>
      <c r="I4" s="1095"/>
      <c r="K4" s="1055"/>
    </row>
    <row r="5" spans="1:13" s="1051" customFormat="1" ht="20.100000000000001" customHeight="1" thickBot="1">
      <c r="B5" s="1096"/>
      <c r="C5" s="1097"/>
      <c r="D5" s="1109"/>
      <c r="E5" s="1098"/>
      <c r="F5" s="1109" t="s">
        <v>1943</v>
      </c>
      <c r="G5" s="1110"/>
      <c r="H5" s="1106">
        <f>IFERROR(H3/H4,0)</f>
        <v>0.87521574146475412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1941</v>
      </c>
      <c r="C8" s="2659"/>
      <c r="D8" s="2659"/>
      <c r="E8" s="2660"/>
      <c r="G8" s="2661" t="s">
        <v>1942</v>
      </c>
      <c r="H8" s="2662"/>
      <c r="I8" s="2663"/>
      <c r="K8" s="1057"/>
    </row>
    <row r="9" spans="1:13" ht="15" customHeight="1">
      <c r="A9" s="1046"/>
      <c r="B9" s="2656" t="s">
        <v>1975</v>
      </c>
      <c r="C9" s="2656"/>
      <c r="D9" s="2656"/>
      <c r="E9" s="1059">
        <f>G33</f>
        <v>1010000</v>
      </c>
      <c r="G9" s="2664" t="s">
        <v>1973</v>
      </c>
      <c r="H9" s="2664"/>
      <c r="I9" s="1060">
        <f>SUMIF(Application!M554:M565,"Loan, Tax-Exempt",Application!AM554:AM565)</f>
        <v>9641421</v>
      </c>
      <c r="K9" s="1061"/>
      <c r="M9" s="1062"/>
    </row>
    <row r="10" spans="1:13" ht="15" customHeight="1" thickBot="1">
      <c r="A10" s="1046"/>
      <c r="B10" s="2656" t="s">
        <v>1976</v>
      </c>
      <c r="C10" s="2656"/>
      <c r="D10" s="2656"/>
      <c r="E10" s="1060">
        <f>G47</f>
        <v>7567164.0000000009</v>
      </c>
      <c r="G10" s="2668" t="s">
        <v>1944</v>
      </c>
      <c r="H10" s="2668"/>
      <c r="I10" s="1140">
        <f>'Basis &amp; Credits'!AB78</f>
        <v>4199991</v>
      </c>
      <c r="M10" s="1062"/>
    </row>
    <row r="11" spans="1:13" ht="15" customHeight="1">
      <c r="A11" s="1046"/>
      <c r="B11" s="2672" t="s">
        <v>2264</v>
      </c>
      <c r="C11" s="2673"/>
      <c r="D11" s="2674"/>
      <c r="E11" s="1060">
        <f>SUM(E12,E13)</f>
        <v>300000</v>
      </c>
      <c r="G11" s="2671" t="s">
        <v>1984</v>
      </c>
      <c r="H11" s="2671"/>
      <c r="I11" s="1139">
        <f>I9+I10</f>
        <v>13841412</v>
      </c>
      <c r="M11" s="1062"/>
    </row>
    <row r="12" spans="1:13" ht="15" customHeight="1">
      <c r="A12" s="1063"/>
      <c r="B12" s="2657" t="s">
        <v>2266</v>
      </c>
      <c r="C12" s="2657"/>
      <c r="D12" s="2657"/>
      <c r="E12" s="1165">
        <f>G56</f>
        <v>100000</v>
      </c>
      <c r="M12" s="1062"/>
    </row>
    <row r="13" spans="1:13" ht="15" customHeight="1">
      <c r="A13" s="1049"/>
      <c r="B13" s="2657" t="s">
        <v>2267</v>
      </c>
      <c r="C13" s="2657"/>
      <c r="D13" s="2657"/>
      <c r="E13" s="1165">
        <f>G65</f>
        <v>200000</v>
      </c>
      <c r="G13" s="2661" t="s">
        <v>2007</v>
      </c>
      <c r="H13" s="2662"/>
      <c r="I13" s="2663"/>
      <c r="M13" s="1062"/>
    </row>
    <row r="14" spans="1:13" ht="15" customHeight="1">
      <c r="A14" s="1049"/>
      <c r="B14" s="2672" t="s">
        <v>2265</v>
      </c>
      <c r="C14" s="2673"/>
      <c r="D14" s="2674"/>
      <c r="E14" s="1167">
        <f>MAX(E15,E16)+E17</f>
        <v>969600</v>
      </c>
      <c r="G14" s="2664" t="s">
        <v>139</v>
      </c>
      <c r="H14" s="2664"/>
      <c r="I14" s="1064">
        <f>15%*(AND(G120="Yes",G122&lt;&gt;""))</f>
        <v>0.15</v>
      </c>
      <c r="M14" s="1062"/>
    </row>
    <row r="15" spans="1:13" ht="15" customHeight="1">
      <c r="A15" s="1049"/>
      <c r="B15" s="2675" t="s">
        <v>2271</v>
      </c>
      <c r="C15" s="2676"/>
      <c r="D15" s="2677"/>
      <c r="E15" s="1165">
        <f>G80</f>
        <v>404000</v>
      </c>
      <c r="G15" s="1137" t="s">
        <v>1985</v>
      </c>
      <c r="H15" s="1137"/>
      <c r="I15" s="1064">
        <f>IF(Application!AJ1032&gt;0,10%,IF(Application!AJ1036&gt;0,5%,0))</f>
        <v>0</v>
      </c>
      <c r="M15" s="1062"/>
    </row>
    <row r="16" spans="1:13" ht="15" customHeight="1">
      <c r="A16" s="1049"/>
      <c r="B16" s="2675" t="s">
        <v>2270</v>
      </c>
      <c r="C16" s="2676"/>
      <c r="D16" s="2677"/>
      <c r="E16" s="1165">
        <f>G90</f>
        <v>0</v>
      </c>
      <c r="G16" s="2664" t="s">
        <v>1986</v>
      </c>
      <c r="H16" s="2664"/>
      <c r="I16" s="1064">
        <f>G132</f>
        <v>3.7173202614379085E-2</v>
      </c>
    </row>
    <row r="17" spans="1:21" ht="15" customHeight="1" thickBot="1">
      <c r="A17" s="1049"/>
      <c r="B17" s="2675" t="s">
        <v>2269</v>
      </c>
      <c r="C17" s="2676"/>
      <c r="D17" s="2677"/>
      <c r="E17" s="1165">
        <f>G115</f>
        <v>565600</v>
      </c>
      <c r="G17" s="2664" t="s">
        <v>2279</v>
      </c>
      <c r="H17" s="2664"/>
      <c r="I17" s="1064">
        <f>IF(AND(G139="Yes",OR(G136,G137)),IF(G143&gt;15%,15%,G143),0)</f>
        <v>0</v>
      </c>
    </row>
    <row r="18" spans="1:21" ht="15" customHeight="1">
      <c r="A18" s="1046"/>
      <c r="B18" s="2667" t="s">
        <v>1940</v>
      </c>
      <c r="C18" s="2667"/>
      <c r="D18" s="2667"/>
      <c r="E18" s="1111">
        <f>SUM(E9:E11,E14)</f>
        <v>9846764</v>
      </c>
      <c r="G18" s="1138" t="s">
        <v>1974</v>
      </c>
      <c r="H18" s="1138"/>
      <c r="I18" s="1112">
        <f>I11-((I11*I14)+(I11*I15)+(I11*I16)+(I11*I17))</f>
        <v>11250670.587254902</v>
      </c>
      <c r="M18" s="1065">
        <f>SUM(Cdlac[Quantity])</f>
        <v>20</v>
      </c>
      <c r="O18" s="1084" t="s">
        <v>583</v>
      </c>
      <c r="P18" s="1044">
        <f>MATCH(Application!T189,Application!CB160:CB217,0)</f>
        <v>44</v>
      </c>
      <c r="T18" s="1065">
        <f>SUM(Cdlac[Population])</f>
        <v>20</v>
      </c>
    </row>
    <row r="19" spans="1:21" ht="15" customHeight="1">
      <c r="A19" s="1046"/>
      <c r="B19" s="1046"/>
      <c r="C19" s="1046"/>
      <c r="D19" s="1046"/>
      <c r="E19" s="1046"/>
      <c r="L19" s="1044" t="s">
        <v>1936</v>
      </c>
      <c r="M19" s="1044" t="s">
        <v>1935</v>
      </c>
      <c r="N19" s="1044" t="s">
        <v>1947</v>
      </c>
      <c r="O19" s="1044" t="s">
        <v>1948</v>
      </c>
      <c r="P19" s="1044" t="s">
        <v>1937</v>
      </c>
      <c r="Q19" s="1044" t="s">
        <v>2262</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4</v>
      </c>
      <c r="N20" s="1071">
        <f>Application!AC718</f>
        <v>0.3</v>
      </c>
      <c r="O20" s="1071">
        <f>IF(Cdlac[[#This Row],[Quantity]]&gt;0,IF(Cdlac[[#This Row],[Federal]],30%,IF(AND(OR(NOT($G$38),$G$38=""),$G$43),40%,Cdlac[[#This Row],[iAMI]])),"")</f>
        <v>0.4</v>
      </c>
      <c r="P20" s="1065" cm="1">
        <f t="array" ref="P20">IF(Cdlac[[#This Row],[Quantity]]&gt;0,INDEX(TcacRents,$P$18,Cdlac[[#This Row],[Bedrooms]]+1)*Cdlac[[#This Row],[AMI]],"")</f>
        <v>1384.8000000000002</v>
      </c>
      <c r="Q20" s="1164"/>
      <c r="R20" s="1065" cm="1">
        <f t="array" ref="R20">IF(Cdlac[[#This Row],[Quantity]]&gt;0,INDEX(HudFmrs,$P$18,Cdlac[[#This Row],[Bedrooms]]+1),"")</f>
        <v>3056</v>
      </c>
      <c r="S20" s="1065">
        <f>IF(Cdlac[[#This Row],[Quantity]]&gt;0,MAX(0,Cdlac[[#This Row],[Fair Market Rent]]-IF(AND($G$37,$G$38,$G$38&lt;&gt;"",NOT(Cdlac[[#This Row],[Federal]]),Cdlac[[#This Row],[Preservation Rent]]&lt;&gt;""),Cdlac[[#This Row],[Preservation Rent]],Cdlac[[#This Row],[Restricted Rent]])),"")</f>
        <v>1671.1999999999998</v>
      </c>
      <c r="T20" s="1044">
        <f>IF(Cdlac[[#This Row],[Quantity]]&gt;0,AND(Application!AK718&lt;&gt;"N/A",Application!AK718&lt;&gt;"")*Cdlac[[#This Row],[Quantity]],"")</f>
        <v>4</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v>
      </c>
      <c r="N21" s="1071">
        <f>Application!AC719</f>
        <v>0.3</v>
      </c>
      <c r="O21" s="1071">
        <f>IF(Cdlac[[#This Row],[Quantity]]&gt;0,IF(Cdlac[[#This Row],[Federal]],30%,IF(AND(OR(NOT($G$38),$G$38=""),$G$43),40%,Cdlac[[#This Row],[iAMI]])),"")</f>
        <v>0.3</v>
      </c>
      <c r="P21" s="1065" cm="1">
        <f t="array" ref="P21">IF(Cdlac[[#This Row],[Quantity]]&gt;0,INDEX(TcacRents,$P$18,Cdlac[[#This Row],[Bedrooms]]+1)*Cdlac[[#This Row],[AMI]],"")</f>
        <v>1038.5999999999999</v>
      </c>
      <c r="Q21" s="1164"/>
      <c r="R21" s="1065" cm="1">
        <f t="array" ref="R21">IF(Cdlac[[#This Row],[Quantity]]&gt;0,INDEX(HudFmrs,$P$18,Cdlac[[#This Row],[Bedrooms]]+1),"")</f>
        <v>3056</v>
      </c>
      <c r="S21" s="1065">
        <f>IF(Cdlac[[#This Row],[Quantity]]&gt;0,MAX(0,Cdlac[[#This Row],[Fair Market Rent]]-IF(AND($G$37,$G$38,$G$38&lt;&gt;"",NOT(Cdlac[[#This Row],[Federal]]),Cdlac[[#This Row],[Preservation Rent]]&lt;&gt;""),Cdlac[[#This Row],[Preservation Rent]],Cdlac[[#This Row],[Restricted Rent]])),"")</f>
        <v>2017.4</v>
      </c>
      <c r="T21" s="1044">
        <f>IF(Cdlac[[#This Row],[Quantity]]&gt;0,AND(Application!AK719&lt;&gt;"N/A",Application!AK719&lt;&gt;"")*Cdlac[[#This Row],[Quantity]],"")</f>
        <v>4</v>
      </c>
      <c r="U21" s="1044" t="b">
        <f>AND('Subsidy Contract Calculation'!F5&gt;0,OR('Subsidy Contract Calculation'!C5="Federal",'Subsidy Contract Calculation'!C5="Local - Approved by ED"),Cdlac[[#This Row],[Quantity]]&gt;0)</f>
        <v>1</v>
      </c>
    </row>
    <row r="22" spans="1:21" ht="15" customHeight="1">
      <c r="A22" s="1049"/>
      <c r="C22" s="2665" t="s">
        <v>1988</v>
      </c>
      <c r="D22" s="2665" t="s">
        <v>1989</v>
      </c>
      <c r="E22" s="2665" t="s">
        <v>1990</v>
      </c>
      <c r="F22" s="2665" t="s">
        <v>2610</v>
      </c>
      <c r="G22" s="2665" t="s">
        <v>1987</v>
      </c>
      <c r="H22" s="1070"/>
      <c r="I22" s="1069"/>
      <c r="L22" s="1044">
        <f>IFERROR(MIN(4,MATCH(Application!B720,UnitSizes,0)-1),"")</f>
        <v>1</v>
      </c>
      <c r="M22" s="1065">
        <f>Application!G720</f>
        <v>10</v>
      </c>
      <c r="N22" s="1071">
        <f>Application!AC720</f>
        <v>0.3</v>
      </c>
      <c r="O22" s="1071">
        <f>IF(Cdlac[[#This Row],[Quantity]]&gt;0,IF(Cdlac[[#This Row],[Federal]],30%,IF(AND(OR(NOT($G$38),$G$38=""),$G$43),40%,Cdlac[[#This Row],[iAMI]])),"")</f>
        <v>0.3</v>
      </c>
      <c r="P22" s="1065" cm="1">
        <f t="array" ref="P22">IF(Cdlac[[#This Row],[Quantity]]&gt;0,INDEX(TcacRents,$P$18,Cdlac[[#This Row],[Bedrooms]]+1)*Cdlac[[#This Row],[AMI]],"")</f>
        <v>1112.3999999999999</v>
      </c>
      <c r="Q22" s="1164"/>
      <c r="R22" s="1065" cm="1">
        <f t="array" ref="R22">IF(Cdlac[[#This Row],[Quantity]]&gt;0,INDEX(HudFmrs,$P$18,Cdlac[[#This Row],[Bedrooms]]+1),"")</f>
        <v>3221</v>
      </c>
      <c r="S22" s="1065">
        <f>IF(Cdlac[[#This Row],[Quantity]]&gt;0,MAX(0,Cdlac[[#This Row],[Fair Market Rent]]-IF(AND($G$37,$G$38,$G$38&lt;&gt;"",NOT(Cdlac[[#This Row],[Federal]]),Cdlac[[#This Row],[Preservation Rent]]&lt;&gt;""),Cdlac[[#This Row],[Preservation Rent]],Cdlac[[#This Row],[Restricted Rent]])),"")</f>
        <v>2108.6000000000004</v>
      </c>
      <c r="T22" s="1044">
        <f>IF(Cdlac[[#This Row],[Quantity]]&gt;0,AND(Application!AK720&lt;&gt;"N/A",Application!AK720&lt;&gt;"")*Cdlac[[#This Row],[Quantity]],"")</f>
        <v>10</v>
      </c>
      <c r="U22" s="1044" t="b">
        <f>AND('Subsidy Contract Calculation'!F6&gt;0,OR('Subsidy Contract Calculation'!C6="Federal",'Subsidy Contract Calculation'!C6="Local - Approved by ED"),Cdlac[[#This Row],[Quantity]]&gt;0)</f>
        <v>1</v>
      </c>
    </row>
    <row r="23" spans="1:21" ht="15" customHeight="1">
      <c r="A23" s="1049"/>
      <c r="C23" s="2666"/>
      <c r="D23" s="2666"/>
      <c r="E23" s="2666"/>
      <c r="F23" s="2666"/>
      <c r="G23" s="2666"/>
      <c r="H23" s="1070"/>
      <c r="I23" s="1069"/>
      <c r="L23" s="1044">
        <f>IFERROR(MIN(4,MATCH(Application!B721,UnitSizes,0)-1),"")</f>
        <v>2</v>
      </c>
      <c r="M23" s="1065">
        <f>Application!G721</f>
        <v>1</v>
      </c>
      <c r="N23" s="1071">
        <f>Application!AC721</f>
        <v>0.3</v>
      </c>
      <c r="O23" s="1071">
        <f>IF(Cdlac[[#This Row],[Quantity]]&gt;0,IF(Cdlac[[#This Row],[Federal]],30%,IF(AND(OR(NOT($G$38),$G$38=""),$G$43),40%,Cdlac[[#This Row],[iAMI]])),"")</f>
        <v>0.3</v>
      </c>
      <c r="P23" s="1065" cm="1">
        <f t="array" ref="P23">IF(Cdlac[[#This Row],[Quantity]]&gt;0,INDEX(TcacRents,$P$18,Cdlac[[#This Row],[Bedrooms]]+1)*Cdlac[[#This Row],[AMI]],"")</f>
        <v>1335</v>
      </c>
      <c r="Q23" s="1164"/>
      <c r="R23" s="1065" cm="1">
        <f t="array" ref="R23">IF(Cdlac[[#This Row],[Quantity]]&gt;0,INDEX(HudFmrs,$P$18,Cdlac[[#This Row],[Bedrooms]]+1),"")</f>
        <v>4223</v>
      </c>
      <c r="S23" s="1065">
        <f>IF(Cdlac[[#This Row],[Quantity]]&gt;0,MAX(0,Cdlac[[#This Row],[Fair Market Rent]]-IF(AND($G$37,$G$38,$G$38&lt;&gt;"",NOT(Cdlac[[#This Row],[Federal]]),Cdlac[[#This Row],[Preservation Rent]]&lt;&gt;""),Cdlac[[#This Row],[Preservation Rent]],Cdlac[[#This Row],[Restricted Rent]])),"")</f>
        <v>2888</v>
      </c>
      <c r="T23" s="1044">
        <f>IF(Cdlac[[#This Row],[Quantity]]&gt;0,AND(Application!AK721&lt;&gt;"N/A",Application!AK721&lt;&gt;"")*Cdlac[[#This Row],[Quantity]],"")</f>
        <v>1</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8</v>
      </c>
      <c r="F24" s="1072">
        <f>E24</f>
        <v>8</v>
      </c>
      <c r="G24" s="1072">
        <f>D24*F24</f>
        <v>7.2</v>
      </c>
      <c r="L24" s="1044">
        <f>IFERROR(MIN(4,MATCH(Application!B722,UnitSizes,0)-1),"")</f>
        <v>4</v>
      </c>
      <c r="M24" s="1065">
        <f>Application!G722</f>
        <v>1</v>
      </c>
      <c r="N24" s="1071">
        <f>Application!AC722</f>
        <v>0.3</v>
      </c>
      <c r="O24" s="1071">
        <f>IF(Cdlac[[#This Row],[Quantity]]&gt;0,IF(Cdlac[[#This Row],[Federal]],30%,IF(AND(OR(NOT($G$38),$G$38=""),$G$43),40%,Cdlac[[#This Row],[iAMI]])),"")</f>
        <v>0.4</v>
      </c>
      <c r="P24" s="1065" cm="1">
        <f t="array" ref="P24">IF(Cdlac[[#This Row],[Quantity]]&gt;0,INDEX(TcacRents,$P$18,Cdlac[[#This Row],[Bedrooms]]+1)*Cdlac[[#This Row],[AMI]],"")</f>
        <v>2293.6</v>
      </c>
      <c r="Q24" s="1164"/>
      <c r="R24" s="1065" cm="1">
        <f t="array" ref="R24">IF(Cdlac[[#This Row],[Quantity]]&gt;0,INDEX(HudFmrs,$P$18,Cdlac[[#This Row],[Bedrooms]]+1),"")</f>
        <v>5605</v>
      </c>
      <c r="S24" s="1065">
        <f>IF(Cdlac[[#This Row],[Quantity]]&gt;0,MAX(0,Cdlac[[#This Row],[Fair Market Rent]]-IF(AND($G$37,$G$38,$G$38&lt;&gt;"",NOT(Cdlac[[#This Row],[Federal]]),Cdlac[[#This Row],[Preservation Rent]]&lt;&gt;""),Cdlac[[#This Row],[Preservation Rent]],Cdlac[[#This Row],[Restricted Rent]])),"")</f>
        <v>3311.4</v>
      </c>
      <c r="T24" s="1044">
        <f>IF(Cdlac[[#This Row],[Quantity]]&gt;0,AND(Application!AK722&lt;&gt;"N/A",Application!AK722&lt;&gt;"")*Cdlac[[#This Row],[Quantity]],"")</f>
        <v>1</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v>
      </c>
      <c r="F25" s="1072">
        <f>E25</f>
        <v>10</v>
      </c>
      <c r="G25" s="1072">
        <f>D25*F25</f>
        <v>10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v>
      </c>
      <c r="F26" s="1075">
        <f>SUM(E26:E28)-SUM(F27:F28)</f>
        <v>1</v>
      </c>
      <c r="G26" s="1072">
        <f>D26*F26</f>
        <v>1.25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1</v>
      </c>
      <c r="F28" s="1086">
        <f>MIN(E28,ROUNDDOWN(E29*10%,0))</f>
        <v>1</v>
      </c>
      <c r="G28" s="1088">
        <f>D28*F28</f>
        <v>1.75</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9" t="s">
        <v>1587</v>
      </c>
      <c r="D29" s="2680"/>
      <c r="E29" s="1089">
        <f>SUM(E24:E28)</f>
        <v>20</v>
      </c>
      <c r="F29" s="1089">
        <f>SUM(F24:F28)</f>
        <v>20</v>
      </c>
      <c r="G29" s="1090">
        <f>SUMPRODUCT(D24:D28,F24:F28)</f>
        <v>20.2</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20.2</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1010000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42039.8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7567164.0000000009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20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10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10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100000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20</v>
      </c>
    </row>
    <row r="61" spans="2:21" ht="15" customHeight="1">
      <c r="E61" s="1117" t="s">
        <v>1996</v>
      </c>
      <c r="G61" s="1079">
        <f>ROUNDDOWN(E29*50%,0)</f>
        <v>10</v>
      </c>
    </row>
    <row r="62" spans="2:21" ht="15" customHeight="1">
      <c r="E62" s="1117"/>
      <c r="G62" s="1079"/>
    </row>
    <row r="63" spans="2:21" ht="15" customHeight="1">
      <c r="E63" s="1117" t="s">
        <v>1956</v>
      </c>
      <c r="G63" s="1114">
        <f>MIN(G60:G61)</f>
        <v>10</v>
      </c>
    </row>
    <row r="64" spans="2:21" ht="15" customHeight="1">
      <c r="E64" s="1117" t="s">
        <v>1946</v>
      </c>
      <c r="F64" s="1113" t="s">
        <v>1994</v>
      </c>
      <c r="G64" s="1124">
        <v>20000</v>
      </c>
    </row>
    <row r="65" spans="2:14" ht="15" customHeight="1">
      <c r="E65" s="1118" t="s">
        <v>1978</v>
      </c>
      <c r="F65" s="1046"/>
      <c r="G65" s="1123">
        <f>G63*G64</f>
        <v>200000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546</v>
      </c>
    </row>
    <row r="72" spans="2:14" ht="15" customHeight="1">
      <c r="C72" s="1077" t="s">
        <v>1970</v>
      </c>
      <c r="G72" s="1044" t="str">
        <f>Application!T193</f>
        <v>High Resource</v>
      </c>
      <c r="L72" s="2652" t="s">
        <v>1971</v>
      </c>
      <c r="M72" s="2653"/>
      <c r="N72" s="1131">
        <v>30000</v>
      </c>
    </row>
    <row r="73" spans="2:14" ht="15" customHeight="1">
      <c r="C73" s="2654" t="s">
        <v>2263</v>
      </c>
      <c r="D73" s="2654"/>
      <c r="E73" s="2654"/>
      <c r="F73" s="2654"/>
      <c r="G73" s="1043"/>
      <c r="L73" s="2669" t="s">
        <v>1939</v>
      </c>
      <c r="M73" s="2670"/>
      <c r="N73" s="1132">
        <v>20000</v>
      </c>
    </row>
    <row r="74" spans="2:14" ht="15" customHeight="1" thickBot="1">
      <c r="C74" s="2654"/>
      <c r="D74" s="2654"/>
      <c r="E74" s="2654"/>
      <c r="F74" s="2654"/>
      <c r="L74" s="2644" t="s">
        <v>1972</v>
      </c>
      <c r="M74" s="2645"/>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20000</v>
      </c>
    </row>
    <row r="79" spans="2:14" ht="15" customHeight="1">
      <c r="E79" s="1084" t="str">
        <f>E96</f>
        <v>Bedroom-Adjusted Low-Income Units</v>
      </c>
      <c r="F79" s="1113" t="s">
        <v>1994</v>
      </c>
      <c r="G79" s="1114">
        <f>G29</f>
        <v>20.2</v>
      </c>
    </row>
    <row r="80" spans="2:14" ht="15" customHeight="1">
      <c r="D80" s="1046"/>
      <c r="E80" s="1118" t="s">
        <v>2268</v>
      </c>
      <c r="F80" s="1046"/>
      <c r="G80" s="1123">
        <f>G79*G78*G76</f>
        <v>404000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20.2</v>
      </c>
    </row>
    <row r="89" spans="2:9" ht="15" customHeight="1">
      <c r="E89" s="1084" t="s">
        <v>1946</v>
      </c>
      <c r="F89" s="1113" t="s">
        <v>1994</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4</v>
      </c>
    </row>
    <row r="95" spans="2:9" ht="15" customHeight="1">
      <c r="E95" s="1084" t="s">
        <v>1946</v>
      </c>
      <c r="F95" s="1113" t="s">
        <v>1994</v>
      </c>
      <c r="G95" s="1076">
        <v>4000</v>
      </c>
    </row>
    <row r="96" spans="2:9" ht="15" customHeight="1" thickBot="1">
      <c r="E96" s="1084" t="s">
        <v>1998</v>
      </c>
      <c r="F96" s="1113" t="s">
        <v>1994</v>
      </c>
      <c r="G96" s="1126">
        <f>G29</f>
        <v>20.2</v>
      </c>
    </row>
    <row r="97" spans="2:14" ht="15" customHeight="1">
      <c r="E97" s="1118" t="s">
        <v>1963</v>
      </c>
      <c r="F97" s="1046"/>
      <c r="G97" s="1123">
        <f>G94*G95*G96</f>
        <v>323200</v>
      </c>
      <c r="L97" s="1127" t="str">
        <f>'Points System'!H638</f>
        <v>(i)</v>
      </c>
      <c r="M97" s="2650" t="s">
        <v>1406</v>
      </c>
      <c r="N97" s="2651"/>
    </row>
    <row r="98" spans="2:14" ht="15" customHeight="1">
      <c r="C98" s="1077"/>
      <c r="G98" s="1114"/>
      <c r="L98" s="1128" t="str">
        <f>'Points System'!H650</f>
        <v>(i)</v>
      </c>
      <c r="M98" s="2646" t="s">
        <v>1958</v>
      </c>
      <c r="N98" s="2647"/>
    </row>
    <row r="99" spans="2:14" ht="15" customHeight="1">
      <c r="E99" s="1084" t="s">
        <v>1999</v>
      </c>
      <c r="G99" s="1126">
        <f>COUNTIFS(L97:L104,"(i)")</f>
        <v>3</v>
      </c>
      <c r="L99" s="1128" t="str">
        <f>'Points System'!H685</f>
        <v>(i)</v>
      </c>
      <c r="M99" s="2646" t="s">
        <v>1959</v>
      </c>
      <c r="N99" s="2647"/>
    </row>
    <row r="100" spans="2:14" ht="15" customHeight="1">
      <c r="E100" s="1084" t="s">
        <v>1946</v>
      </c>
      <c r="F100" s="1113" t="s">
        <v>1994</v>
      </c>
      <c r="G100" s="1124">
        <v>4000</v>
      </c>
      <c r="L100" s="1128" t="str">
        <f>IF(OR('Points System'!H709="(ii)",'Points System'!H709="(i)"),"(i)","N/A")</f>
        <v>N/A</v>
      </c>
      <c r="M100" s="2646" t="s">
        <v>1960</v>
      </c>
      <c r="N100" s="2647"/>
    </row>
    <row r="101" spans="2:14" ht="15" customHeight="1">
      <c r="E101" s="1118" t="s">
        <v>1964</v>
      </c>
      <c r="F101" s="1046"/>
      <c r="G101" s="1123">
        <f>G96*G99*G100</f>
        <v>242399.99999999997</v>
      </c>
      <c r="L101" s="1129" t="str">
        <f>'Points System'!H723</f>
        <v>N/A</v>
      </c>
      <c r="M101" s="2646" t="s">
        <v>1432</v>
      </c>
      <c r="N101" s="2647"/>
    </row>
    <row r="102" spans="2:14" ht="15" customHeight="1">
      <c r="L102" s="1128" t="str">
        <f>'Points System'!H735</f>
        <v>N/A</v>
      </c>
      <c r="M102" s="2646" t="s">
        <v>1961</v>
      </c>
      <c r="N102" s="2647"/>
    </row>
    <row r="103" spans="2:14" ht="15" customHeight="1">
      <c r="C103" s="1080" t="s">
        <v>1966</v>
      </c>
      <c r="L103" s="1128" t="str">
        <f>'Points System'!H751</f>
        <v>N/A</v>
      </c>
      <c r="M103" s="2646" t="s">
        <v>1962</v>
      </c>
      <c r="N103" s="2647"/>
    </row>
    <row r="104" spans="2:14" ht="15" customHeight="1" thickBot="1">
      <c r="C104" s="1077" t="s">
        <v>1967</v>
      </c>
      <c r="G104" s="1043"/>
      <c r="L104" s="1130" t="str">
        <f>'Points System'!H763</f>
        <v>N/A</v>
      </c>
      <c r="M104" s="2648" t="s">
        <v>1435</v>
      </c>
      <c r="N104" s="2649"/>
    </row>
    <row r="105" spans="2:14" ht="15" customHeight="1">
      <c r="C105" s="1077" t="s">
        <v>1968</v>
      </c>
      <c r="G105" s="1043"/>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0</v>
      </c>
    </row>
    <row r="110" spans="2:14" ht="15" customHeight="1">
      <c r="E110" s="1077"/>
    </row>
    <row r="111" spans="2:14" ht="15" customHeight="1">
      <c r="E111" s="1084" t="s">
        <v>1998</v>
      </c>
      <c r="F111" s="1113" t="s">
        <v>1994</v>
      </c>
      <c r="G111" s="1114">
        <f>G29</f>
        <v>20.2</v>
      </c>
    </row>
    <row r="112" spans="2:14" ht="15" customHeight="1">
      <c r="E112" s="1084" t="s">
        <v>1946</v>
      </c>
      <c r="F112" s="1113" t="s">
        <v>1994</v>
      </c>
      <c r="G112" s="1124">
        <v>25000</v>
      </c>
    </row>
    <row r="113" spans="2:9" ht="15" customHeight="1">
      <c r="E113" s="1118" t="s">
        <v>1965</v>
      </c>
      <c r="F113" s="1046"/>
      <c r="G113" s="1123">
        <f>G109*G112*G96</f>
        <v>0</v>
      </c>
    </row>
    <row r="114" spans="2:9" ht="15" customHeight="1">
      <c r="C114" s="1077"/>
      <c r="E114" s="1077"/>
    </row>
    <row r="115" spans="2:9" ht="15" customHeight="1">
      <c r="E115" s="1118" t="s">
        <v>2273</v>
      </c>
      <c r="G115" s="1123">
        <f>G113+G101+G97</f>
        <v>565600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2228</v>
      </c>
      <c r="D119" s="2681"/>
      <c r="E119" s="2681"/>
      <c r="F119" s="2681"/>
    </row>
    <row r="120" spans="2:9" ht="15" customHeight="1">
      <c r="C120" s="2681"/>
      <c r="D120" s="2681"/>
      <c r="E120" s="2681"/>
      <c r="F120" s="2681"/>
      <c r="G120" s="1043" t="s">
        <v>546</v>
      </c>
    </row>
    <row r="121" spans="2:9" ht="15" customHeight="1"/>
    <row r="122" spans="2:9" ht="15" customHeight="1">
      <c r="C122" s="1044" t="s">
        <v>2230</v>
      </c>
      <c r="G122" s="2683" t="s">
        <v>2709</v>
      </c>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2002</v>
      </c>
      <c r="G131" s="1078">
        <f>MEDIAN((Application!CU160:CU217))</f>
        <v>489600</v>
      </c>
    </row>
    <row r="132" spans="2:9" ht="15">
      <c r="D132" s="1046"/>
      <c r="E132" s="1118" t="s">
        <v>2004</v>
      </c>
      <c r="F132" s="1134"/>
      <c r="G132" s="1135">
        <f>((G130-G131)/G131)*0.25</f>
        <v>3.7173202614379085E-2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78" t="s">
        <v>2276</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1446213.15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8" sqref="F8"/>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SRO/Studio</v>
      </c>
      <c r="B4" s="1082">
        <f>Application!G718</f>
        <v>4</v>
      </c>
      <c r="C4" s="1162"/>
      <c r="D4" s="428">
        <f>Application!O718</f>
        <v>305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4</v>
      </c>
      <c r="C5" s="1162" t="s">
        <v>385</v>
      </c>
      <c r="D5" s="428">
        <f>Application!O719</f>
        <v>1038</v>
      </c>
      <c r="E5" s="429"/>
      <c r="F5" s="1083">
        <v>2445</v>
      </c>
      <c r="G5" s="428">
        <f t="shared" ref="G5:G38" si="2">F5*B5</f>
        <v>9780</v>
      </c>
      <c r="H5" s="429"/>
      <c r="I5" s="428">
        <f t="shared" si="0"/>
        <v>1407</v>
      </c>
      <c r="J5" s="428">
        <f t="shared" si="1"/>
        <v>5628</v>
      </c>
      <c r="K5" s="204"/>
      <c r="L5" s="305"/>
    </row>
    <row r="6" spans="1:12">
      <c r="A6" s="428" t="str">
        <f>Application!B720</f>
        <v>1 Bedroom</v>
      </c>
      <c r="B6" s="1082">
        <f>Application!G720</f>
        <v>10</v>
      </c>
      <c r="C6" s="1162" t="s">
        <v>385</v>
      </c>
      <c r="D6" s="428">
        <f>Application!O720</f>
        <v>1112</v>
      </c>
      <c r="E6" s="429"/>
      <c r="F6" s="1083">
        <v>2577</v>
      </c>
      <c r="G6" s="428">
        <f t="shared" si="2"/>
        <v>25770</v>
      </c>
      <c r="H6" s="429"/>
      <c r="I6" s="428">
        <f t="shared" si="0"/>
        <v>1465</v>
      </c>
      <c r="J6" s="428">
        <f t="shared" si="1"/>
        <v>14650</v>
      </c>
      <c r="K6" s="204"/>
      <c r="L6" s="305"/>
    </row>
    <row r="7" spans="1:12">
      <c r="A7" s="428" t="str">
        <f>Application!B721</f>
        <v>2 Bedrooms</v>
      </c>
      <c r="B7" s="1082">
        <f>Application!G721</f>
        <v>1</v>
      </c>
      <c r="C7" s="1162" t="s">
        <v>385</v>
      </c>
      <c r="D7" s="428">
        <f>Application!O721</f>
        <v>1335</v>
      </c>
      <c r="E7" s="429"/>
      <c r="F7" s="1083">
        <v>3379</v>
      </c>
      <c r="G7" s="428">
        <f t="shared" si="2"/>
        <v>3379</v>
      </c>
      <c r="H7" s="429"/>
      <c r="I7" s="428">
        <f t="shared" si="0"/>
        <v>2044</v>
      </c>
      <c r="J7" s="428">
        <f t="shared" si="1"/>
        <v>2044</v>
      </c>
      <c r="K7" s="204"/>
      <c r="L7" s="305"/>
    </row>
    <row r="8" spans="1:12">
      <c r="A8" s="428" t="str">
        <f>Application!B722</f>
        <v>4 Bedrooms</v>
      </c>
      <c r="B8" s="1082">
        <f>Application!G722</f>
        <v>1</v>
      </c>
      <c r="C8" s="1162"/>
      <c r="D8" s="428">
        <f>Application!O722</f>
        <v>1720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19547</v>
      </c>
      <c r="E40" s="429"/>
      <c r="F40" s="429"/>
      <c r="G40" s="432">
        <f>SUM(G4:G38)*12</f>
        <v>467148</v>
      </c>
      <c r="H40" s="433"/>
      <c r="I40" s="431"/>
      <c r="J40" s="432">
        <f>SUM(J4:J38)*12</f>
        <v>267864</v>
      </c>
      <c r="K40" s="204"/>
      <c r="L40" s="306"/>
    </row>
    <row r="41" spans="1:12" ht="15">
      <c r="A41" s="430"/>
      <c r="B41" s="431"/>
      <c r="C41" s="431"/>
      <c r="D41" s="433"/>
      <c r="E41" s="429"/>
      <c r="F41" s="429"/>
      <c r="G41" s="433"/>
      <c r="H41" s="433"/>
      <c r="I41" s="431"/>
      <c r="J41" s="433"/>
      <c r="K41" s="204"/>
      <c r="L41" s="306"/>
    </row>
    <row r="42" spans="1:12">
      <c r="A42" s="304" t="s">
        <v>2258</v>
      </c>
    </row>
    <row r="43" spans="1:12">
      <c r="A43" s="2686" t="s">
        <v>2497</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2259</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45" sqref="E4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234564</v>
      </c>
      <c r="G4" s="219">
        <f>E4*$C$4</f>
        <v>240428.09999999998</v>
      </c>
      <c r="I4" s="219">
        <f>G4*$C$4</f>
        <v>246438.80249999996</v>
      </c>
      <c r="K4" s="219">
        <f>I4*$C$4</f>
        <v>252599.77256249994</v>
      </c>
      <c r="M4" s="219">
        <f>K4*$C$4</f>
        <v>258914.76687656241</v>
      </c>
      <c r="O4" s="219">
        <f>M4*$C$4</f>
        <v>265387.63604847644</v>
      </c>
      <c r="Q4" s="219">
        <f>O4*$C$4</f>
        <v>272022.32694968831</v>
      </c>
      <c r="S4" s="219">
        <f>Q4*$C$4</f>
        <v>278822.88512343052</v>
      </c>
      <c r="U4" s="219">
        <f>S4*$C$4</f>
        <v>285793.45725151623</v>
      </c>
      <c r="W4" s="219">
        <f>U4*$C$4</f>
        <v>292938.2936828041</v>
      </c>
      <c r="Y4" s="219">
        <f>W4*$C$4</f>
        <v>300261.75102487416</v>
      </c>
      <c r="AA4" s="219">
        <f>Y4*$C$4</f>
        <v>307768.29480049596</v>
      </c>
      <c r="AC4" s="219">
        <f>AA4*$C$4</f>
        <v>315462.50217050832</v>
      </c>
      <c r="AE4" s="219">
        <f>AC4*$C$4</f>
        <v>323349.06472477101</v>
      </c>
      <c r="AG4" s="219">
        <f>AE4*$C$4</f>
        <v>331432.79134289024</v>
      </c>
    </row>
    <row r="5" spans="1:34" s="210" customFormat="1" ht="14.25">
      <c r="B5" s="210" t="s">
        <v>839</v>
      </c>
      <c r="C5" s="238">
        <f>IF(Application!$D$211="Special Needs",(((0.1*Application!$T$212)+(0.05*(1-Application!$T$212)))),0.05)</f>
        <v>0.1</v>
      </c>
      <c r="E5" s="221">
        <f>-E4*$C$5</f>
        <v>-23456.400000000001</v>
      </c>
      <c r="F5" s="221"/>
      <c r="G5" s="221">
        <f>-G4*$C$5</f>
        <v>-24042.809999999998</v>
      </c>
      <c r="H5" s="221"/>
      <c r="I5" s="221">
        <f>-I4*$C$5</f>
        <v>-24643.880249999998</v>
      </c>
      <c r="J5" s="221"/>
      <c r="K5" s="221">
        <f>-K4*$C$5</f>
        <v>-25259.977256249997</v>
      </c>
      <c r="L5" s="221"/>
      <c r="M5" s="221">
        <f>-M4*$C$5</f>
        <v>-25891.476687656243</v>
      </c>
      <c r="N5" s="221"/>
      <c r="O5" s="221">
        <f>-O4*$C$5</f>
        <v>-26538.763604847645</v>
      </c>
      <c r="P5" s="221"/>
      <c r="Q5" s="221">
        <f>-Q4*$C$5</f>
        <v>-27202.232694968832</v>
      </c>
      <c r="R5" s="221"/>
      <c r="S5" s="221">
        <f>-S4*$C$5</f>
        <v>-27882.288512343053</v>
      </c>
      <c r="T5" s="221"/>
      <c r="U5" s="221">
        <f>-U4*$C$5</f>
        <v>-28579.345725151623</v>
      </c>
      <c r="V5" s="221"/>
      <c r="W5" s="221">
        <f>-W4*$C$5</f>
        <v>-29293.829368280411</v>
      </c>
      <c r="X5" s="221"/>
      <c r="Y5" s="221">
        <f>-Y4*$C$5</f>
        <v>-30026.175102487417</v>
      </c>
      <c r="Z5" s="221"/>
      <c r="AA5" s="221">
        <f>-AA4*$C$5</f>
        <v>-30776.829480049597</v>
      </c>
      <c r="AB5" s="221"/>
      <c r="AC5" s="221">
        <f>-AC4*$C$5</f>
        <v>-31546.250217050834</v>
      </c>
      <c r="AD5" s="221"/>
      <c r="AE5" s="221">
        <f>-AE4*$C$5</f>
        <v>-32334.906472477101</v>
      </c>
      <c r="AF5" s="221"/>
      <c r="AG5" s="221">
        <f>-AG4*$C$5</f>
        <v>-33143.279134289027</v>
      </c>
    </row>
    <row r="6" spans="1:34" s="210" customFormat="1" ht="14.25">
      <c r="A6" s="210" t="s">
        <v>837</v>
      </c>
      <c r="C6" s="237">
        <v>1.0249999999999999</v>
      </c>
      <c r="E6" s="222">
        <f>Application!Z809</f>
        <v>267864</v>
      </c>
      <c r="F6" s="222"/>
      <c r="G6" s="222">
        <f>E6*$C$6</f>
        <v>274560.59999999998</v>
      </c>
      <c r="H6" s="222"/>
      <c r="I6" s="222">
        <f>G6*$C$6</f>
        <v>281424.61499999993</v>
      </c>
      <c r="J6" s="222"/>
      <c r="K6" s="222">
        <f>I6*$C$6</f>
        <v>288460.23037499993</v>
      </c>
      <c r="L6" s="222"/>
      <c r="M6" s="222">
        <f>K6*$C$6</f>
        <v>295671.73613437492</v>
      </c>
      <c r="N6" s="222"/>
      <c r="O6" s="222">
        <f>M6*$C$6</f>
        <v>303063.52953773428</v>
      </c>
      <c r="P6" s="222"/>
      <c r="Q6" s="222">
        <f>O6*$C$6</f>
        <v>310640.11777617759</v>
      </c>
      <c r="R6" s="222"/>
      <c r="S6" s="222">
        <f>Q6*$C$6</f>
        <v>318406.12072058202</v>
      </c>
      <c r="T6" s="222"/>
      <c r="U6" s="222">
        <f>S6*$C$6</f>
        <v>326366.27373859653</v>
      </c>
      <c r="V6" s="222"/>
      <c r="W6" s="222">
        <f>U6*$C$6</f>
        <v>334525.43058206141</v>
      </c>
      <c r="X6" s="222"/>
      <c r="Y6" s="222">
        <f>W6*$C$6</f>
        <v>342888.56634661293</v>
      </c>
      <c r="Z6" s="222"/>
      <c r="AA6" s="222">
        <f>Y6*$C$6</f>
        <v>351460.78050527821</v>
      </c>
      <c r="AB6" s="222"/>
      <c r="AC6" s="222">
        <f>AA6*$C$6</f>
        <v>360247.30001791014</v>
      </c>
      <c r="AD6" s="222"/>
      <c r="AE6" s="222">
        <f>AC6*$C$6</f>
        <v>369253.48251835787</v>
      </c>
      <c r="AF6" s="222"/>
      <c r="AG6" s="222">
        <f>AE6*$C$6</f>
        <v>378484.81958131678</v>
      </c>
    </row>
    <row r="7" spans="1:34" s="210" customFormat="1" ht="14.25">
      <c r="B7" s="210" t="s">
        <v>839</v>
      </c>
      <c r="C7" s="238">
        <f>IF(Application!$D$211="Special Needs",(((0.1*Application!$T$212)+(0.05*(1-Application!$T$212)))),0.05)</f>
        <v>0.1</v>
      </c>
      <c r="E7" s="221">
        <f>-E6*$C$7</f>
        <v>-26786.400000000001</v>
      </c>
      <c r="F7" s="221"/>
      <c r="G7" s="221">
        <f>-G6*$C$7</f>
        <v>-27456.059999999998</v>
      </c>
      <c r="H7" s="221"/>
      <c r="I7" s="221">
        <f>-I6*$C$7</f>
        <v>-28142.461499999994</v>
      </c>
      <c r="J7" s="221"/>
      <c r="K7" s="221">
        <f>-K6*$C$7</f>
        <v>-28846.023037499996</v>
      </c>
      <c r="L7" s="221"/>
      <c r="M7" s="221">
        <f>-M6*$C$7</f>
        <v>-29567.173613437495</v>
      </c>
      <c r="N7" s="221"/>
      <c r="O7" s="221">
        <f>-O6*$C$7</f>
        <v>-30306.352953773428</v>
      </c>
      <c r="P7" s="221"/>
      <c r="Q7" s="221">
        <f>-Q6*$C$7</f>
        <v>-31064.011777617761</v>
      </c>
      <c r="R7" s="221"/>
      <c r="S7" s="221">
        <f>-S6*$C$7</f>
        <v>-31840.612072058204</v>
      </c>
      <c r="T7" s="221"/>
      <c r="U7" s="221">
        <f>-U6*$C$7</f>
        <v>-32636.627373859654</v>
      </c>
      <c r="V7" s="221"/>
      <c r="W7" s="221">
        <f>-W6*$C$7</f>
        <v>-33452.543058206145</v>
      </c>
      <c r="X7" s="221"/>
      <c r="Y7" s="221">
        <f>-Y6*$C$7</f>
        <v>-34288.856634661293</v>
      </c>
      <c r="Z7" s="221"/>
      <c r="AA7" s="221">
        <f>-AA6*$C$7</f>
        <v>-35146.078050527824</v>
      </c>
      <c r="AB7" s="221"/>
      <c r="AC7" s="221">
        <f>-AC6*$C$7</f>
        <v>-36024.730001791017</v>
      </c>
      <c r="AD7" s="221"/>
      <c r="AE7" s="221">
        <f>-AE6*$C$7</f>
        <v>-36925.348251835785</v>
      </c>
      <c r="AF7" s="221"/>
      <c r="AG7" s="221">
        <f>-AG6*$C$7</f>
        <v>-37848.481958131677</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0.1</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2694</v>
      </c>
      <c r="B10" s="1143"/>
      <c r="C10" s="238"/>
      <c r="E10" s="1144">
        <v>1061</v>
      </c>
      <c r="F10" s="222"/>
      <c r="G10" s="1144">
        <v>2541</v>
      </c>
      <c r="H10" s="222"/>
      <c r="I10" s="1144">
        <v>4191</v>
      </c>
      <c r="J10" s="222"/>
      <c r="K10" s="1144">
        <v>6019</v>
      </c>
      <c r="L10" s="222"/>
      <c r="M10" s="1144">
        <v>8034</v>
      </c>
      <c r="N10" s="222"/>
      <c r="O10" s="1144">
        <v>10247</v>
      </c>
      <c r="P10" s="222"/>
      <c r="Q10" s="1144">
        <v>12667</v>
      </c>
      <c r="R10" s="222"/>
      <c r="S10" s="1144">
        <v>15304</v>
      </c>
      <c r="T10" s="222"/>
      <c r="U10" s="1144">
        <v>18170</v>
      </c>
      <c r="V10" s="222"/>
      <c r="W10" s="1144">
        <v>21276</v>
      </c>
      <c r="X10" s="222"/>
      <c r="Y10" s="1144">
        <v>24635</v>
      </c>
      <c r="Z10" s="222"/>
      <c r="AA10" s="1144">
        <v>28257</v>
      </c>
      <c r="AB10" s="222"/>
      <c r="AC10" s="1144">
        <v>32157</v>
      </c>
      <c r="AD10" s="222"/>
      <c r="AE10" s="1144">
        <v>36347</v>
      </c>
      <c r="AF10" s="222"/>
      <c r="AG10" s="1144">
        <v>40842</v>
      </c>
    </row>
    <row r="11" spans="1:34" s="223" customFormat="1" ht="15">
      <c r="A11" s="223" t="s">
        <v>860</v>
      </c>
      <c r="C11" s="216"/>
      <c r="E11" s="223">
        <f>SUM(E4:E10)</f>
        <v>453246.19999999995</v>
      </c>
      <c r="G11" s="223">
        <f>SUM(G4:G10)</f>
        <v>466030.82999999996</v>
      </c>
      <c r="I11" s="223">
        <f>SUM(I4:I10)</f>
        <v>479268.07574999996</v>
      </c>
      <c r="K11" s="223">
        <f>SUM(K4:K10)</f>
        <v>492973.00264374993</v>
      </c>
      <c r="M11" s="223">
        <f>SUM(M4:M10)</f>
        <v>507161.8527098436</v>
      </c>
      <c r="O11" s="223">
        <f>SUM(O4:O10)</f>
        <v>521853.04902758962</v>
      </c>
      <c r="Q11" s="223">
        <f>SUM(Q4:Q10)</f>
        <v>537063.2002532793</v>
      </c>
      <c r="S11" s="223">
        <f>SUM(S4:S10)</f>
        <v>552810.10525961127</v>
      </c>
      <c r="U11" s="223">
        <f>SUM(U4:U10)</f>
        <v>569113.75789110153</v>
      </c>
      <c r="W11" s="223">
        <f>SUM(W4:W10)</f>
        <v>585993.35183837893</v>
      </c>
      <c r="Y11" s="223">
        <f>SUM(Y4:Y10)</f>
        <v>603470.28563433839</v>
      </c>
      <c r="AA11" s="223">
        <f>SUM(AA4:AA10)</f>
        <v>621563.16777519672</v>
      </c>
      <c r="AC11" s="223">
        <f>SUM(AC4:AC10)</f>
        <v>640295.82196957653</v>
      </c>
      <c r="AE11" s="223">
        <f>SUM(AE4:AE10)</f>
        <v>659689.29251881607</v>
      </c>
      <c r="AG11" s="223">
        <f>SUM(AG4:AG10)</f>
        <v>679767.84983178636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20643</v>
      </c>
      <c r="G15" s="219">
        <f>E15*$C$14</f>
        <v>21365.504999999997</v>
      </c>
      <c r="I15" s="219">
        <f>G15*$C$14</f>
        <v>22113.297674999994</v>
      </c>
      <c r="K15" s="219">
        <f>I15*$C$14</f>
        <v>22887.263093624992</v>
      </c>
      <c r="M15" s="219">
        <f>K15*$C$14</f>
        <v>23688.317301901865</v>
      </c>
      <c r="O15" s="219">
        <f>M15*$C$14</f>
        <v>24517.408407468429</v>
      </c>
      <c r="Q15" s="219">
        <f>O15*$C$14</f>
        <v>25375.517701729823</v>
      </c>
      <c r="S15" s="219">
        <f>Q15*$C$14</f>
        <v>26263.660821290363</v>
      </c>
      <c r="U15" s="219">
        <f>S15*$C$14</f>
        <v>27182.888950035525</v>
      </c>
      <c r="W15" s="219">
        <f>U15*$C$14</f>
        <v>28134.290063286768</v>
      </c>
      <c r="Y15" s="219">
        <f>W15*$C$14</f>
        <v>29118.990215501803</v>
      </c>
      <c r="AA15" s="219">
        <f>Y15*$C$14</f>
        <v>30138.154873044365</v>
      </c>
      <c r="AC15" s="219">
        <f>AA15*$C$14</f>
        <v>31192.990293600917</v>
      </c>
      <c r="AE15" s="219">
        <f>AC15*$C$14</f>
        <v>32284.744953876947</v>
      </c>
      <c r="AG15" s="219">
        <f>AE15*$C$14</f>
        <v>33414.711027262638</v>
      </c>
    </row>
    <row r="16" spans="1:34" s="210" customFormat="1" ht="14.25">
      <c r="A16" s="210" t="s">
        <v>344</v>
      </c>
      <c r="C16" s="233"/>
      <c r="E16" s="222">
        <f>Application!W849</f>
        <v>28293</v>
      </c>
      <c r="F16" s="222"/>
      <c r="G16" s="222">
        <f t="shared" ref="G16:AG21" si="0">E16*$C$14</f>
        <v>29283.254999999997</v>
      </c>
      <c r="H16" s="222"/>
      <c r="I16" s="222">
        <f t="shared" si="0"/>
        <v>30308.168924999994</v>
      </c>
      <c r="J16" s="222"/>
      <c r="K16" s="222">
        <f t="shared" si="0"/>
        <v>31368.954837374993</v>
      </c>
      <c r="L16" s="222"/>
      <c r="M16" s="222">
        <f t="shared" si="0"/>
        <v>32466.868256683116</v>
      </c>
      <c r="N16" s="222"/>
      <c r="O16" s="222">
        <f t="shared" si="0"/>
        <v>33603.208645667022</v>
      </c>
      <c r="P16" s="222"/>
      <c r="Q16" s="222">
        <f t="shared" si="0"/>
        <v>34779.320948265362</v>
      </c>
      <c r="R16" s="222"/>
      <c r="S16" s="222">
        <f t="shared" si="0"/>
        <v>35996.59718145465</v>
      </c>
      <c r="T16" s="222"/>
      <c r="U16" s="222">
        <f t="shared" si="0"/>
        <v>37256.478082805559</v>
      </c>
      <c r="V16" s="222"/>
      <c r="W16" s="222">
        <f t="shared" si="0"/>
        <v>38560.45481570375</v>
      </c>
      <c r="X16" s="222"/>
      <c r="Y16" s="222">
        <f t="shared" si="0"/>
        <v>39910.070734253379</v>
      </c>
      <c r="Z16" s="222"/>
      <c r="AA16" s="222">
        <f t="shared" si="0"/>
        <v>41306.923209952241</v>
      </c>
      <c r="AB16" s="222"/>
      <c r="AC16" s="222">
        <f t="shared" si="0"/>
        <v>42752.665522300565</v>
      </c>
      <c r="AD16" s="222"/>
      <c r="AE16" s="222">
        <f t="shared" si="0"/>
        <v>44249.008815581081</v>
      </c>
      <c r="AF16" s="222"/>
      <c r="AG16" s="222">
        <f t="shared" si="0"/>
        <v>45797.724124126413</v>
      </c>
    </row>
    <row r="17" spans="1:33" s="210" customFormat="1" ht="14.25">
      <c r="A17" s="210" t="s">
        <v>562</v>
      </c>
      <c r="C17" s="233"/>
      <c r="E17" s="222">
        <f>Application!W855</f>
        <v>57200</v>
      </c>
      <c r="F17" s="222"/>
      <c r="G17" s="222">
        <f t="shared" si="0"/>
        <v>59201.999999999993</v>
      </c>
      <c r="H17" s="222"/>
      <c r="I17" s="222">
        <f t="shared" si="0"/>
        <v>61274.069999999985</v>
      </c>
      <c r="J17" s="222"/>
      <c r="K17" s="222">
        <f t="shared" si="0"/>
        <v>63418.662449999982</v>
      </c>
      <c r="L17" s="222"/>
      <c r="M17" s="222">
        <f t="shared" si="0"/>
        <v>65638.315635749983</v>
      </c>
      <c r="N17" s="222"/>
      <c r="O17" s="222">
        <f t="shared" si="0"/>
        <v>67935.656683001231</v>
      </c>
      <c r="P17" s="222"/>
      <c r="Q17" s="222">
        <f t="shared" si="0"/>
        <v>70313.404666906266</v>
      </c>
      <c r="R17" s="222"/>
      <c r="S17" s="222">
        <f t="shared" si="0"/>
        <v>72774.373830247976</v>
      </c>
      <c r="T17" s="222"/>
      <c r="U17" s="222">
        <f t="shared" si="0"/>
        <v>75321.476914306651</v>
      </c>
      <c r="V17" s="222"/>
      <c r="W17" s="222">
        <f t="shared" si="0"/>
        <v>77957.728606307384</v>
      </c>
      <c r="X17" s="222"/>
      <c r="Y17" s="222">
        <f t="shared" si="0"/>
        <v>80686.249107528143</v>
      </c>
      <c r="Z17" s="222"/>
      <c r="AA17" s="222">
        <f t="shared" si="0"/>
        <v>83510.267826291616</v>
      </c>
      <c r="AB17" s="222"/>
      <c r="AC17" s="222">
        <f t="shared" si="0"/>
        <v>86433.12720021182</v>
      </c>
      <c r="AD17" s="222"/>
      <c r="AE17" s="222">
        <f t="shared" si="0"/>
        <v>89458.28665221922</v>
      </c>
      <c r="AF17" s="222"/>
      <c r="AG17" s="222">
        <f t="shared" si="0"/>
        <v>92589.326685046879</v>
      </c>
    </row>
    <row r="18" spans="1:33" s="210" customFormat="1" ht="14.25">
      <c r="A18" s="210" t="s">
        <v>843</v>
      </c>
      <c r="C18" s="233"/>
      <c r="E18" s="222">
        <f>Application!W862</f>
        <v>24360</v>
      </c>
      <c r="F18" s="222"/>
      <c r="G18" s="222">
        <f t="shared" si="0"/>
        <v>25212.6</v>
      </c>
      <c r="H18" s="222"/>
      <c r="I18" s="222">
        <f t="shared" si="0"/>
        <v>26095.040999999997</v>
      </c>
      <c r="J18" s="222"/>
      <c r="K18" s="222">
        <f t="shared" si="0"/>
        <v>27008.367434999996</v>
      </c>
      <c r="L18" s="222"/>
      <c r="M18" s="222">
        <f t="shared" si="0"/>
        <v>27953.660295224996</v>
      </c>
      <c r="N18" s="222"/>
      <c r="O18" s="222">
        <f t="shared" si="0"/>
        <v>28932.038405557869</v>
      </c>
      <c r="P18" s="222"/>
      <c r="Q18" s="222">
        <f t="shared" si="0"/>
        <v>29944.659749752391</v>
      </c>
      <c r="R18" s="222"/>
      <c r="S18" s="222">
        <f t="shared" si="0"/>
        <v>30992.722840993723</v>
      </c>
      <c r="T18" s="222"/>
      <c r="U18" s="222">
        <f t="shared" si="0"/>
        <v>32077.4681404285</v>
      </c>
      <c r="V18" s="222"/>
      <c r="W18" s="222">
        <f t="shared" si="0"/>
        <v>33200.179525343498</v>
      </c>
      <c r="X18" s="222"/>
      <c r="Y18" s="222">
        <f t="shared" si="0"/>
        <v>34362.185808730515</v>
      </c>
      <c r="Z18" s="222"/>
      <c r="AA18" s="222">
        <f t="shared" si="0"/>
        <v>35564.862312036079</v>
      </c>
      <c r="AB18" s="222"/>
      <c r="AC18" s="222">
        <f t="shared" si="0"/>
        <v>36809.632492957338</v>
      </c>
      <c r="AD18" s="222"/>
      <c r="AE18" s="222">
        <f t="shared" si="0"/>
        <v>38097.969630210842</v>
      </c>
      <c r="AF18" s="222"/>
      <c r="AG18" s="222">
        <f t="shared" si="0"/>
        <v>39431.398567268217</v>
      </c>
    </row>
    <row r="19" spans="1:33" s="210" customFormat="1" ht="14.25">
      <c r="A19" s="210" t="s">
        <v>155</v>
      </c>
      <c r="C19" s="233"/>
      <c r="E19" s="222">
        <f>Application!W863</f>
        <v>34739</v>
      </c>
      <c r="F19" s="222"/>
      <c r="G19" s="222">
        <f t="shared" si="0"/>
        <v>35954.864999999998</v>
      </c>
      <c r="H19" s="222"/>
      <c r="I19" s="222">
        <f t="shared" si="0"/>
        <v>37213.285274999995</v>
      </c>
      <c r="J19" s="222"/>
      <c r="K19" s="222">
        <f t="shared" si="0"/>
        <v>38515.750259624991</v>
      </c>
      <c r="L19" s="222"/>
      <c r="M19" s="222">
        <f t="shared" si="0"/>
        <v>39863.801518711865</v>
      </c>
      <c r="N19" s="222"/>
      <c r="O19" s="222">
        <f t="shared" si="0"/>
        <v>41259.034571866774</v>
      </c>
      <c r="P19" s="222"/>
      <c r="Q19" s="222">
        <f t="shared" si="0"/>
        <v>42703.100781882109</v>
      </c>
      <c r="R19" s="222"/>
      <c r="S19" s="222">
        <f t="shared" si="0"/>
        <v>44197.709309247977</v>
      </c>
      <c r="T19" s="222"/>
      <c r="U19" s="222">
        <f t="shared" si="0"/>
        <v>45744.629135071656</v>
      </c>
      <c r="V19" s="222"/>
      <c r="W19" s="222">
        <f t="shared" si="0"/>
        <v>47345.691154799162</v>
      </c>
      <c r="X19" s="222"/>
      <c r="Y19" s="222">
        <f t="shared" si="0"/>
        <v>49002.79034521713</v>
      </c>
      <c r="Z19" s="222"/>
      <c r="AA19" s="222">
        <f t="shared" si="0"/>
        <v>50717.888007299727</v>
      </c>
      <c r="AB19" s="222"/>
      <c r="AC19" s="222">
        <f t="shared" si="0"/>
        <v>52493.014087555217</v>
      </c>
      <c r="AD19" s="222"/>
      <c r="AE19" s="222">
        <f t="shared" si="0"/>
        <v>54330.269580619643</v>
      </c>
      <c r="AF19" s="222"/>
      <c r="AG19" s="222">
        <f t="shared" si="0"/>
        <v>56231.829015941323</v>
      </c>
    </row>
    <row r="20" spans="1:33" s="210" customFormat="1" ht="14.25">
      <c r="A20" s="210" t="s">
        <v>390</v>
      </c>
      <c r="C20" s="233"/>
      <c r="E20" s="222">
        <f>Application!W872</f>
        <v>71838</v>
      </c>
      <c r="F20" s="222"/>
      <c r="G20" s="222">
        <f t="shared" si="0"/>
        <v>74352.329999999987</v>
      </c>
      <c r="H20" s="222"/>
      <c r="I20" s="222">
        <f t="shared" si="0"/>
        <v>76954.661549999975</v>
      </c>
      <c r="J20" s="222"/>
      <c r="K20" s="222">
        <f t="shared" si="0"/>
        <v>79648.074704249972</v>
      </c>
      <c r="L20" s="222"/>
      <c r="M20" s="222">
        <f t="shared" si="0"/>
        <v>82435.757318898715</v>
      </c>
      <c r="N20" s="222"/>
      <c r="O20" s="222">
        <f t="shared" si="0"/>
        <v>85321.008825060169</v>
      </c>
      <c r="P20" s="222"/>
      <c r="Q20" s="222">
        <f t="shared" si="0"/>
        <v>88307.244133937274</v>
      </c>
      <c r="R20" s="222"/>
      <c r="S20" s="222">
        <f t="shared" si="0"/>
        <v>91397.997678625077</v>
      </c>
      <c r="T20" s="222"/>
      <c r="U20" s="222">
        <f t="shared" si="0"/>
        <v>94596.927597376955</v>
      </c>
      <c r="V20" s="222"/>
      <c r="W20" s="222">
        <f t="shared" si="0"/>
        <v>97907.820063285137</v>
      </c>
      <c r="X20" s="222"/>
      <c r="Y20" s="222">
        <f t="shared" si="0"/>
        <v>101334.5937655001</v>
      </c>
      <c r="Z20" s="222"/>
      <c r="AA20" s="222">
        <f t="shared" si="0"/>
        <v>104881.3045472926</v>
      </c>
      <c r="AB20" s="222"/>
      <c r="AC20" s="222">
        <f t="shared" si="0"/>
        <v>108552.15020644784</v>
      </c>
      <c r="AD20" s="222"/>
      <c r="AE20" s="222">
        <f t="shared" si="0"/>
        <v>112351.4754636735</v>
      </c>
      <c r="AF20" s="222"/>
      <c r="AG20" s="222">
        <f t="shared" si="0"/>
        <v>116283.77710490207</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237073</v>
      </c>
      <c r="G22" s="223">
        <f>SUM(G15:G21)</f>
        <v>245370.55499999996</v>
      </c>
      <c r="I22" s="223">
        <f>SUM(I15:I21)</f>
        <v>253958.52442499995</v>
      </c>
      <c r="K22" s="223">
        <f>SUM(K15:K21)</f>
        <v>262847.0727798749</v>
      </c>
      <c r="M22" s="223">
        <f>SUM(M15:M21)</f>
        <v>272046.72032717057</v>
      </c>
      <c r="O22" s="223">
        <f>SUM(O15:O21)</f>
        <v>281568.35553862149</v>
      </c>
      <c r="Q22" s="223">
        <f>SUM(Q15:Q21)</f>
        <v>291423.24798247323</v>
      </c>
      <c r="S22" s="223">
        <f>SUM(S15:S21)</f>
        <v>301623.06166185974</v>
      </c>
      <c r="U22" s="223">
        <f>SUM(U15:U21)</f>
        <v>312179.86882002483</v>
      </c>
      <c r="W22" s="223">
        <f>SUM(W15:W21)</f>
        <v>323106.16422872571</v>
      </c>
      <c r="Y22" s="223">
        <f>SUM(Y15:Y21)</f>
        <v>334414.87997673108</v>
      </c>
      <c r="AA22" s="223">
        <f>SUM(AA15:AA21)</f>
        <v>346119.40077591658</v>
      </c>
      <c r="AC22" s="223">
        <f>SUM(AC15:AC21)</f>
        <v>358233.57980307366</v>
      </c>
      <c r="AE22" s="223">
        <f>SUM(AE15:AE21)</f>
        <v>370771.75509618118</v>
      </c>
      <c r="AG22" s="223">
        <f>SUM(AG15:AG21)</f>
        <v>383748.76652454754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74991</v>
      </c>
      <c r="F27" s="222"/>
      <c r="G27" s="222">
        <f>E27*$C$27</f>
        <v>77615.684999999998</v>
      </c>
      <c r="H27" s="222"/>
      <c r="I27" s="222">
        <f>G27*$C$27</f>
        <v>80332.233974999996</v>
      </c>
      <c r="J27" s="222"/>
      <c r="K27" s="222">
        <f>I27*$C$27</f>
        <v>83143.862164124992</v>
      </c>
      <c r="L27" s="222"/>
      <c r="M27" s="222">
        <f>K27*$C$27</f>
        <v>86053.897339869363</v>
      </c>
      <c r="N27" s="222"/>
      <c r="O27" s="222">
        <f>M27*$C$27</f>
        <v>89065.783746764791</v>
      </c>
      <c r="P27" s="222"/>
      <c r="Q27" s="222">
        <f>O27*$C$27</f>
        <v>92183.086177901554</v>
      </c>
      <c r="R27" s="222"/>
      <c r="S27" s="222">
        <f>Q27*$C$27</f>
        <v>95409.494194128099</v>
      </c>
      <c r="T27" s="222"/>
      <c r="U27" s="222">
        <f>S27*$C$27</f>
        <v>98748.826490922569</v>
      </c>
      <c r="V27" s="222"/>
      <c r="W27" s="222">
        <f>U27*$C$27</f>
        <v>102205.03541810485</v>
      </c>
      <c r="X27" s="222"/>
      <c r="Y27" s="222">
        <f>W27*$C$27</f>
        <v>105782.2116577385</v>
      </c>
      <c r="Z27" s="222"/>
      <c r="AA27" s="222">
        <f>Y27*$C$27</f>
        <v>109484.58906575934</v>
      </c>
      <c r="AB27" s="222"/>
      <c r="AC27" s="222">
        <f>AA27*$C$27</f>
        <v>113316.5496830609</v>
      </c>
      <c r="AD27" s="222"/>
      <c r="AE27" s="222">
        <f>AC27*$C$27</f>
        <v>117282.62892196803</v>
      </c>
      <c r="AF27" s="222"/>
      <c r="AG27" s="222">
        <f>AE27*$C$27</f>
        <v>121387.52093423691</v>
      </c>
    </row>
    <row r="28" spans="1:33" s="210" customFormat="1" ht="14.25">
      <c r="A28" s="210" t="s">
        <v>847</v>
      </c>
      <c r="C28" s="237"/>
      <c r="E28" s="222">
        <f>Application!AC889</f>
        <v>10500</v>
      </c>
      <c r="F28" s="222"/>
      <c r="G28" s="222">
        <f>$E$28</f>
        <v>10500</v>
      </c>
      <c r="H28" s="222"/>
      <c r="I28" s="222">
        <f>$E$28</f>
        <v>10500</v>
      </c>
      <c r="J28" s="222"/>
      <c r="K28" s="222">
        <f>$E$28</f>
        <v>10500</v>
      </c>
      <c r="L28" s="222"/>
      <c r="M28" s="222">
        <f>$E$28</f>
        <v>10500</v>
      </c>
      <c r="N28" s="222"/>
      <c r="O28" s="222">
        <f>$E$28</f>
        <v>10500</v>
      </c>
      <c r="P28" s="222"/>
      <c r="Q28" s="222">
        <f>$E$28</f>
        <v>10500</v>
      </c>
      <c r="R28" s="222"/>
      <c r="S28" s="222">
        <f>$E$28</f>
        <v>10500</v>
      </c>
      <c r="T28" s="222"/>
      <c r="U28" s="222">
        <f>$E$28</f>
        <v>10500</v>
      </c>
      <c r="V28" s="222"/>
      <c r="W28" s="222">
        <f>$E$28</f>
        <v>10500</v>
      </c>
      <c r="X28" s="222"/>
      <c r="Y28" s="222">
        <f>$E$28</f>
        <v>10500</v>
      </c>
      <c r="Z28" s="222"/>
      <c r="AA28" s="222">
        <f>$E$28</f>
        <v>10500</v>
      </c>
      <c r="AB28" s="222"/>
      <c r="AC28" s="222">
        <f>$E$28</f>
        <v>10500</v>
      </c>
      <c r="AD28" s="222"/>
      <c r="AE28" s="222">
        <f>$E$28</f>
        <v>10500</v>
      </c>
      <c r="AF28" s="222"/>
      <c r="AG28" s="222">
        <f>$E$28</f>
        <v>10500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322564</v>
      </c>
      <c r="G35" s="223">
        <f>SUM(G22:G33)</f>
        <v>333486.24</v>
      </c>
      <c r="I35" s="223">
        <f>SUM(I22:I33)</f>
        <v>344790.75839999993</v>
      </c>
      <c r="K35" s="223">
        <f>SUM(K22:K33)</f>
        <v>356490.93494399986</v>
      </c>
      <c r="M35" s="223">
        <f>SUM(M22:M33)</f>
        <v>368600.61766703991</v>
      </c>
      <c r="O35" s="223">
        <f>SUM(O22:O33)</f>
        <v>381134.13928538631</v>
      </c>
      <c r="Q35" s="223">
        <f>SUM(Q22:Q33)</f>
        <v>394106.33416037477</v>
      </c>
      <c r="S35" s="223">
        <f>SUM(S22:S33)</f>
        <v>407532.55585598783</v>
      </c>
      <c r="U35" s="223">
        <f>SUM(U22:U33)</f>
        <v>421428.69531094737</v>
      </c>
      <c r="W35" s="223">
        <f>SUM(W22:W33)</f>
        <v>435811.19964683056</v>
      </c>
      <c r="Y35" s="223">
        <f>SUM(Y22:Y33)</f>
        <v>450697.09163446957</v>
      </c>
      <c r="AA35" s="223">
        <f>SUM(AA22:AA33)</f>
        <v>466103.98984167591</v>
      </c>
      <c r="AC35" s="223">
        <f>SUM(AC22:AC33)</f>
        <v>482050.12948613457</v>
      </c>
      <c r="AE35" s="223">
        <f>SUM(AE22:AE33)</f>
        <v>498554.38401814923</v>
      </c>
      <c r="AG35" s="223">
        <f>SUM(AG22:AG33)</f>
        <v>515636.28745878441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130682.19999999995</v>
      </c>
      <c r="G37" s="223">
        <f>G11-G35</f>
        <v>132544.58999999997</v>
      </c>
      <c r="I37" s="223">
        <f>I11-I35</f>
        <v>134477.31735000003</v>
      </c>
      <c r="K37" s="223">
        <f>K11-K35</f>
        <v>136482.06769975007</v>
      </c>
      <c r="M37" s="223">
        <f>M11-M35</f>
        <v>138561.23504280369</v>
      </c>
      <c r="O37" s="223">
        <f>O11-O35</f>
        <v>140718.90974220331</v>
      </c>
      <c r="Q37" s="223">
        <f>Q11-Q35</f>
        <v>142956.86609290453</v>
      </c>
      <c r="S37" s="223">
        <f>S11-S35</f>
        <v>145277.54940362344</v>
      </c>
      <c r="U37" s="223">
        <f>U11-U35</f>
        <v>147685.06258015416</v>
      </c>
      <c r="W37" s="223">
        <f>W11-W35</f>
        <v>150182.15219154838</v>
      </c>
      <c r="Y37" s="223">
        <f>Y11-Y35</f>
        <v>152773.19399986882</v>
      </c>
      <c r="AA37" s="223">
        <f>AA11-AA35</f>
        <v>155459.17793352081</v>
      </c>
      <c r="AC37" s="223">
        <f>AC11-AC35</f>
        <v>158245.69248344196</v>
      </c>
      <c r="AE37" s="223">
        <f>AE11-AE35</f>
        <v>161134.90850066685</v>
      </c>
      <c r="AG37" s="223">
        <f>AG11-AG35</f>
        <v>164131.56237300194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 Loan</v>
      </c>
      <c r="B40" s="226"/>
      <c r="C40" s="220"/>
      <c r="E40" s="222">
        <f>Application!AF627</f>
        <v>113365</v>
      </c>
      <c r="F40" s="222"/>
      <c r="G40" s="222">
        <f>$E$40</f>
        <v>113365</v>
      </c>
      <c r="H40" s="222"/>
      <c r="I40" s="222">
        <f>$E$40</f>
        <v>113365</v>
      </c>
      <c r="J40" s="222"/>
      <c r="K40" s="222">
        <f>$E$40</f>
        <v>113365</v>
      </c>
      <c r="L40" s="222"/>
      <c r="M40" s="222">
        <f>$E$40</f>
        <v>113365</v>
      </c>
      <c r="N40" s="222"/>
      <c r="O40" s="222">
        <f>$E$40</f>
        <v>113365</v>
      </c>
      <c r="P40" s="222"/>
      <c r="Q40" s="222">
        <f>$E$40</f>
        <v>113365</v>
      </c>
      <c r="R40" s="222"/>
      <c r="S40" s="222">
        <f>$E$40</f>
        <v>113365</v>
      </c>
      <c r="T40" s="222"/>
      <c r="U40" s="222">
        <f>$E$40</f>
        <v>113365</v>
      </c>
      <c r="V40" s="222"/>
      <c r="W40" s="222">
        <f>$E$40</f>
        <v>113365</v>
      </c>
      <c r="X40" s="222"/>
      <c r="Y40" s="222">
        <f>$E$40</f>
        <v>113365</v>
      </c>
      <c r="Z40" s="222"/>
      <c r="AA40" s="222">
        <f>$E$40</f>
        <v>113365</v>
      </c>
      <c r="AB40" s="222"/>
      <c r="AC40" s="222">
        <f>$E$40</f>
        <v>113365</v>
      </c>
      <c r="AD40" s="222"/>
      <c r="AE40" s="222">
        <f>$E$40</f>
        <v>113365</v>
      </c>
      <c r="AF40" s="222"/>
      <c r="AG40" s="222">
        <f>$E$40</f>
        <v>113365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113365</v>
      </c>
      <c r="G43" s="223">
        <f>SUM(G40:G42)</f>
        <v>113365</v>
      </c>
      <c r="I43" s="223">
        <f>SUM(I40:I42)</f>
        <v>113365</v>
      </c>
      <c r="K43" s="223">
        <f>SUM(K40:K42)</f>
        <v>113365</v>
      </c>
      <c r="M43" s="223">
        <f>SUM(M40:M42)</f>
        <v>113365</v>
      </c>
      <c r="O43" s="223">
        <f>SUM(O40:O42)</f>
        <v>113365</v>
      </c>
      <c r="Q43" s="223">
        <f>SUM(Q40:Q42)</f>
        <v>113365</v>
      </c>
      <c r="S43" s="223">
        <f>SUM(S40:S42)</f>
        <v>113365</v>
      </c>
      <c r="U43" s="223">
        <f>SUM(U40:U42)</f>
        <v>113365</v>
      </c>
      <c r="W43" s="223">
        <f>SUM(W40:W42)</f>
        <v>113365</v>
      </c>
      <c r="Y43" s="223">
        <f>SUM(Y40:Y42)</f>
        <v>113365</v>
      </c>
      <c r="AA43" s="223">
        <f>SUM(AA40:AA42)</f>
        <v>113365</v>
      </c>
      <c r="AC43" s="223">
        <f>SUM(AC40:AC42)</f>
        <v>113365</v>
      </c>
      <c r="AE43" s="223">
        <f>SUM(AE40:AE42)</f>
        <v>113365</v>
      </c>
      <c r="AG43" s="223">
        <f>SUM(AG40:AG42)</f>
        <v>113365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17317.199999999953</v>
      </c>
      <c r="G45" s="223">
        <f>G37-G43</f>
        <v>19179.589999999967</v>
      </c>
      <c r="I45" s="223">
        <f>I37-I43</f>
        <v>21112.317350000027</v>
      </c>
      <c r="K45" s="223">
        <f>K37-K43</f>
        <v>23117.06769975007</v>
      </c>
      <c r="M45" s="223">
        <f>M37-M43</f>
        <v>25196.235042803688</v>
      </c>
      <c r="O45" s="223">
        <f>O37-O43</f>
        <v>27353.909742203308</v>
      </c>
      <c r="Q45" s="223">
        <f>Q37-Q43</f>
        <v>29591.866092904529</v>
      </c>
      <c r="S45" s="223">
        <f>S37-S43</f>
        <v>31912.549403623445</v>
      </c>
      <c r="U45" s="223">
        <f>U37-U43</f>
        <v>34320.062580154161</v>
      </c>
      <c r="W45" s="223">
        <f>W37-W43</f>
        <v>36817.152191548375</v>
      </c>
      <c r="Y45" s="223">
        <f>Y37-Y43</f>
        <v>39408.193999868818</v>
      </c>
      <c r="AA45" s="223">
        <f>AA37-AA43</f>
        <v>42094.177933520812</v>
      </c>
      <c r="AC45" s="223">
        <f>AC37-AC43</f>
        <v>44880.692483441962</v>
      </c>
      <c r="AE45" s="223">
        <f>AE37-AE43</f>
        <v>47769.908500666847</v>
      </c>
      <c r="AG45" s="223">
        <f>AG37-AG43</f>
        <v>50766.562373001943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3.4467028111490508E-2</v>
      </c>
      <c r="G47" s="227">
        <f>G45/(G4+G6+G8)</f>
        <v>3.7242739500886073E-2</v>
      </c>
      <c r="I47" s="227">
        <f>I45/(I4+I6+I8)</f>
        <v>3.9995795598015714E-2</v>
      </c>
      <c r="K47" s="227">
        <f>K45/(K4+K6+K8)</f>
        <v>4.2725515791675363E-2</v>
      </c>
      <c r="M47" s="227">
        <f>M45/(M4+M6+M8)</f>
        <v>4.5432470689440445E-2</v>
      </c>
      <c r="O47" s="227">
        <f>O45/(O4+O6+O8)</f>
        <v>4.8120069758313899E-2</v>
      </c>
      <c r="Q47" s="227">
        <f>Q45/(Q4+Q6+Q8)</f>
        <v>5.0787323536575391E-2</v>
      </c>
      <c r="S47" s="227">
        <f>S45/(S4+S6+S8)</f>
        <v>5.3434359502556601E-2</v>
      </c>
      <c r="U47" s="227">
        <f>U45/(U4+U6+U8)</f>
        <v>5.6063901042044333E-2</v>
      </c>
      <c r="W47" s="227">
        <f>W45/(W4+W6+W8)</f>
        <v>5.8676144560680751E-2</v>
      </c>
      <c r="Y47" s="227">
        <f>Y45/(Y4+Y6+Y8)</f>
        <v>6.1273691290284212E-2</v>
      </c>
      <c r="AA47" s="227">
        <f>AA45/(AA4+AA6+AA8)</f>
        <v>6.3853642853959405E-2</v>
      </c>
      <c r="AC47" s="227">
        <f>AC45/(AC4+AC6+AC8)</f>
        <v>6.6420070181144417E-2</v>
      </c>
      <c r="AE47" s="227">
        <f>AE45/(AE4+AE6+AE8)</f>
        <v>6.8971603830815617E-2</v>
      </c>
      <c r="AG47" s="227">
        <f>AG45/(AG4+AG6+AG8)</f>
        <v>7.1510498671685907E-2</v>
      </c>
    </row>
    <row r="48" spans="1:33" s="227" customFormat="1" ht="14.25">
      <c r="A48" s="227" t="s">
        <v>853</v>
      </c>
      <c r="C48" s="220"/>
      <c r="E48" s="227">
        <f>E45/E43</f>
        <v>0.15275614166629872</v>
      </c>
      <c r="G48" s="227">
        <f>G45/G43</f>
        <v>0.16918440435760568</v>
      </c>
      <c r="I48" s="227">
        <f>I45/I43</f>
        <v>0.18623311736426609</v>
      </c>
      <c r="K48" s="227">
        <f>K45/K43</f>
        <v>0.20391714991178997</v>
      </c>
      <c r="M48" s="227">
        <f>M45/M43</f>
        <v>0.22225761957221091</v>
      </c>
      <c r="O48" s="227">
        <f>O45/O43</f>
        <v>0.24129060770258287</v>
      </c>
      <c r="Q48" s="227">
        <f>Q45/Q43</f>
        <v>0.26103176547351059</v>
      </c>
      <c r="S48" s="227">
        <f>S45/S43</f>
        <v>0.28150266311139632</v>
      </c>
      <c r="U48" s="227">
        <f>U45/U43</f>
        <v>0.30273949261371819</v>
      </c>
      <c r="W48" s="227">
        <f>W45/W43</f>
        <v>0.32476648164379107</v>
      </c>
      <c r="Y48" s="227">
        <f>Y45/Y43</f>
        <v>0.34762222908189316</v>
      </c>
      <c r="AA48" s="227">
        <f>AA45/AA43</f>
        <v>0.37131546715053865</v>
      </c>
      <c r="AC48" s="227">
        <f>AC45/AC43</f>
        <v>0.39589549228987747</v>
      </c>
      <c r="AE48" s="227">
        <f>AE45/AE43</f>
        <v>0.42138145371734526</v>
      </c>
      <c r="AG48" s="227">
        <f>AG45/AG43</f>
        <v>0.44781513141623908</v>
      </c>
    </row>
    <row r="49" spans="1:34" s="228" customFormat="1" ht="14.25">
      <c r="A49" s="228" t="s">
        <v>851</v>
      </c>
      <c r="C49" s="229"/>
      <c r="E49" s="228">
        <f>E37/E43</f>
        <v>1.1527561416662988</v>
      </c>
      <c r="G49" s="228">
        <f>G37/G43</f>
        <v>1.1691844043576056</v>
      </c>
      <c r="I49" s="228">
        <f>I37/I43</f>
        <v>1.1862331173642662</v>
      </c>
      <c r="K49" s="228">
        <f>K37/K43</f>
        <v>1.20391714991179</v>
      </c>
      <c r="M49" s="228">
        <f>M37/M43</f>
        <v>1.2222576195722108</v>
      </c>
      <c r="O49" s="228">
        <f>O37/O43</f>
        <v>1.2412906077025829</v>
      </c>
      <c r="Q49" s="228">
        <f>Q37/Q43</f>
        <v>1.2610317654735106</v>
      </c>
      <c r="S49" s="228">
        <f>S37/S43</f>
        <v>1.2815026631113964</v>
      </c>
      <c r="U49" s="228">
        <f>U37/U43</f>
        <v>1.3027394926137181</v>
      </c>
      <c r="W49" s="228">
        <f>W37/W43</f>
        <v>1.3247664816437912</v>
      </c>
      <c r="Y49" s="228">
        <f>Y37/Y43</f>
        <v>1.3476222290818931</v>
      </c>
      <c r="AA49" s="228">
        <f>AA37/AA43</f>
        <v>1.3713154671505385</v>
      </c>
      <c r="AC49" s="228">
        <f>AC37/AC43</f>
        <v>1.3958954922898774</v>
      </c>
      <c r="AE49" s="228">
        <f>AE37/AE43</f>
        <v>1.4213814537173453</v>
      </c>
      <c r="AG49" s="228">
        <f>AG37/AG43</f>
        <v>1.4478151314162391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17317.199999999953</v>
      </c>
      <c r="G60" s="962">
        <f>G45-G58</f>
        <v>19179.589999999967</v>
      </c>
      <c r="I60" s="962">
        <f>I45-I58</f>
        <v>21112.317350000027</v>
      </c>
      <c r="K60" s="962">
        <f>K45-K58</f>
        <v>23117.06769975007</v>
      </c>
      <c r="M60" s="962">
        <f>M45-M58</f>
        <v>25196.235042803688</v>
      </c>
      <c r="O60" s="962">
        <f>O45-O58</f>
        <v>27353.909742203308</v>
      </c>
      <c r="Q60" s="962">
        <f>Q45-Q58</f>
        <v>29591.866092904529</v>
      </c>
      <c r="S60" s="962">
        <f>S45-S58</f>
        <v>31912.549403623445</v>
      </c>
      <c r="U60" s="962">
        <f>U45-U58</f>
        <v>34320.062580154161</v>
      </c>
      <c r="W60" s="962">
        <f>W45-W58</f>
        <v>36817.152191548375</v>
      </c>
      <c r="Y60" s="962">
        <f>Y45-Y58</f>
        <v>39408.193999868818</v>
      </c>
      <c r="AA60" s="962">
        <f>AA45-AA58</f>
        <v>42094.177933520812</v>
      </c>
      <c r="AC60" s="962">
        <f>AC45-AC58</f>
        <v>44880.692483441962</v>
      </c>
      <c r="AE60" s="962">
        <f>AE45-AE58</f>
        <v>47769.908500666847</v>
      </c>
      <c r="AG60" s="962">
        <f>AG45-AG58</f>
        <v>50766.562373001943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8658.5999999999767</v>
      </c>
      <c r="G62" s="962">
        <f>G60*$C$62</f>
        <v>9589.7949999999837</v>
      </c>
      <c r="I62" s="962">
        <f>I60*$C$62</f>
        <v>10556.158675000013</v>
      </c>
      <c r="K62" s="962">
        <f>K60*$C$62</f>
        <v>11558.533849875035</v>
      </c>
      <c r="M62" s="962">
        <f>M60*$C$62</f>
        <v>12598.117521401844</v>
      </c>
      <c r="O62" s="962">
        <f>O60*$C$62</f>
        <v>13676.954871101654</v>
      </c>
      <c r="Q62" s="962">
        <f>Q60*$C$62</f>
        <v>14795.933046452265</v>
      </c>
      <c r="S62" s="962">
        <f>S60*$C$62</f>
        <v>15956.274701811722</v>
      </c>
      <c r="U62" s="962">
        <f>U60*$C$62</f>
        <v>17160.03129007708</v>
      </c>
      <c r="W62" s="962">
        <f>W60*$C$62</f>
        <v>18408.576095774188</v>
      </c>
      <c r="Y62" s="962">
        <f>Y60*$C$62</f>
        <v>19704.096999934409</v>
      </c>
      <c r="AA62" s="962">
        <f>AA60*$C$62</f>
        <v>21047.088966760406</v>
      </c>
      <c r="AC62" s="962">
        <f>AC60*$C$62</f>
        <v>22440.346241720981</v>
      </c>
      <c r="AE62" s="962">
        <f>AE60*$C$62</f>
        <v>23884.954250333423</v>
      </c>
      <c r="AG62" s="962">
        <f>AG60*$C$62</f>
        <v>25383.281186500972</v>
      </c>
    </row>
    <row r="63" spans="1:34" s="962" customFormat="1">
      <c r="A63" s="2689" t="s">
        <v>1185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4329.2999999999884</v>
      </c>
      <c r="G66" s="960">
        <f>G60*$C$65</f>
        <v>4794.8974999999919</v>
      </c>
      <c r="I66" s="960">
        <f>I60*$C$65</f>
        <v>5278.0793375000067</v>
      </c>
      <c r="K66" s="960">
        <f>K60*$C$65</f>
        <v>5779.2669249375176</v>
      </c>
      <c r="M66" s="960">
        <f>M60*$C$65</f>
        <v>6299.058760700922</v>
      </c>
      <c r="O66" s="960">
        <f>O60*$C$65</f>
        <v>6838.4774355508271</v>
      </c>
      <c r="Q66" s="960">
        <f>Q60*$C$65</f>
        <v>7397.9665232261323</v>
      </c>
      <c r="S66" s="960">
        <f>S60*$C$65</f>
        <v>7978.1373509058612</v>
      </c>
      <c r="U66" s="960">
        <f>U60*$C$65</f>
        <v>8580.0156450385402</v>
      </c>
      <c r="W66" s="960">
        <f>W60*$C$65</f>
        <v>9204.2880478870939</v>
      </c>
      <c r="Y66" s="960">
        <f>Y60*$C$65</f>
        <v>9852.0484999672044</v>
      </c>
      <c r="AA66" s="960">
        <f>AA60*$C$65</f>
        <v>10523.544483380203</v>
      </c>
      <c r="AC66" s="960">
        <f>AC60*$C$65</f>
        <v>11220.173120860491</v>
      </c>
      <c r="AE66" s="960">
        <f>AE60*$C$65</f>
        <v>11942.477125166712</v>
      </c>
      <c r="AG66" s="960">
        <f>AG60*$C$65</f>
        <v>12691.640593250486</v>
      </c>
    </row>
    <row r="67" spans="1:34" s="960" customFormat="1">
      <c r="A67" s="965"/>
      <c r="B67" s="965"/>
      <c r="C67" s="970"/>
      <c r="E67" s="964">
        <f>$E60*$C$65</f>
        <v>4329.2999999999884</v>
      </c>
      <c r="G67" s="960">
        <f>G60*$C$65</f>
        <v>4794.8974999999919</v>
      </c>
      <c r="I67" s="960">
        <f>I60*$C$65</f>
        <v>5278.0793375000067</v>
      </c>
      <c r="K67" s="960">
        <f>K60*$C$65</f>
        <v>5779.2669249375176</v>
      </c>
      <c r="M67" s="960">
        <f>M60*$C$65</f>
        <v>6299.058760700922</v>
      </c>
      <c r="O67" s="960">
        <f>O60*$C$65</f>
        <v>6838.4774355508271</v>
      </c>
      <c r="Q67" s="960">
        <f>Q60*$C$65</f>
        <v>7397.9665232261323</v>
      </c>
      <c r="S67" s="960">
        <f>S60*$C$65</f>
        <v>7978.1373509058612</v>
      </c>
      <c r="U67" s="960">
        <f>U60*$C$65</f>
        <v>8580.0156450385402</v>
      </c>
      <c r="W67" s="960">
        <f>W60*$C$65</f>
        <v>9204.2880478870939</v>
      </c>
      <c r="Y67" s="960">
        <f>Y60*$C$65</f>
        <v>9852.0484999672044</v>
      </c>
      <c r="AA67" s="960">
        <f>AA60*$C$65</f>
        <v>10523.544483380203</v>
      </c>
      <c r="AC67" s="960">
        <f>AC60*$C$65</f>
        <v>11220.173120860491</v>
      </c>
      <c r="AE67" s="960">
        <f>AE60*$C$65</f>
        <v>11942.477125166712</v>
      </c>
      <c r="AG67" s="960">
        <f>AG60*$C$65</f>
        <v>12691.640593250486</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8658.5999999999767</v>
      </c>
      <c r="G70" s="960">
        <f>SUM(G66:G69)</f>
        <v>9589.7949999999837</v>
      </c>
      <c r="I70" s="960">
        <f>SUM(I66:I69)</f>
        <v>10556.158675000013</v>
      </c>
      <c r="K70" s="960">
        <f>SUM(K66:K69)</f>
        <v>11558.533849875035</v>
      </c>
      <c r="M70" s="960">
        <f>SUM(M66:M69)</f>
        <v>12598.117521401844</v>
      </c>
      <c r="O70" s="960">
        <f>SUM(O66:O69)</f>
        <v>13676.954871101654</v>
      </c>
      <c r="Q70" s="960">
        <f>SUM(Q66:Q69)</f>
        <v>14795.933046452265</v>
      </c>
      <c r="S70" s="960">
        <f>SUM(S66:S69)</f>
        <v>15956.274701811722</v>
      </c>
      <c r="U70" s="960">
        <f>SUM(U66:U69)</f>
        <v>17160.03129007708</v>
      </c>
      <c r="W70" s="960">
        <f>SUM(W66:W69)</f>
        <v>18408.576095774188</v>
      </c>
      <c r="Y70" s="960">
        <f>SUM(Y66:Y69)</f>
        <v>19704.096999934409</v>
      </c>
      <c r="AA70" s="960">
        <f>SUM(AA66:AA69)</f>
        <v>21047.088966760406</v>
      </c>
      <c r="AC70" s="960">
        <f>SUM(AC66:AC69)</f>
        <v>22440.346241720981</v>
      </c>
      <c r="AE70" s="960">
        <f>SUM(AE66:AE69)</f>
        <v>23884.954250333423</v>
      </c>
      <c r="AG70" s="960">
        <f>SUM(AG66:AG69)</f>
        <v>25383.281186500972</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553500</v>
      </c>
      <c r="C5" s="266">
        <f>'Sources and Uses Budget'!$C4</f>
        <v>553500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553500</v>
      </c>
      <c r="C9" s="270">
        <f>SUM(C5:C8)</f>
        <v>553500</v>
      </c>
      <c r="D9" s="270">
        <f t="shared" si="0"/>
        <v>0</v>
      </c>
      <c r="E9" s="268"/>
      <c r="F9" s="267"/>
    </row>
    <row r="10" spans="1:6" s="352" customFormat="1">
      <c r="A10" s="364" t="s">
        <v>595</v>
      </c>
      <c r="B10" s="266">
        <f>'Sources and Uses Budget'!$C9</f>
        <v>2871500</v>
      </c>
      <c r="C10" s="266">
        <f>'Sources and Uses Budget'!$C9</f>
        <v>2871500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2871500</v>
      </c>
      <c r="C12" s="270">
        <f>SUM(C10:C11)</f>
        <v>2871500</v>
      </c>
      <c r="D12" s="270">
        <f t="shared" si="0"/>
        <v>0</v>
      </c>
      <c r="E12" s="268"/>
      <c r="F12" s="267"/>
    </row>
    <row r="13" spans="1:6" s="352" customFormat="1">
      <c r="A13" s="365" t="s">
        <v>84</v>
      </c>
      <c r="B13" s="270">
        <f>SUM(B9+B12)</f>
        <v>3425000</v>
      </c>
      <c r="C13" s="270">
        <f>SUM(C9+C12)</f>
        <v>3425000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1200000</v>
      </c>
      <c r="C30" s="266">
        <f>'Sources and Uses Budget'!$C29</f>
        <v>1200000</v>
      </c>
      <c r="D30" s="270">
        <f t="shared" si="0"/>
        <v>0</v>
      </c>
      <c r="E30" s="268"/>
      <c r="F30" s="267"/>
    </row>
    <row r="31" spans="1:6" s="352" customFormat="1">
      <c r="A31" s="145" t="s">
        <v>600</v>
      </c>
      <c r="B31" s="266">
        <f>'Sources and Uses Budget'!$C30</f>
        <v>4523109</v>
      </c>
      <c r="C31" s="266">
        <f>'Sources and Uses Budget'!$C30</f>
        <v>4523109</v>
      </c>
      <c r="D31" s="270">
        <f t="shared" si="0"/>
        <v>0</v>
      </c>
      <c r="E31" s="268"/>
      <c r="F31" s="267"/>
    </row>
    <row r="32" spans="1:6" s="352" customFormat="1">
      <c r="A32" s="145" t="s">
        <v>601</v>
      </c>
      <c r="B32" s="266">
        <f>'Sources and Uses Budget'!$C31</f>
        <v>343387</v>
      </c>
      <c r="C32" s="266">
        <f>'Sources and Uses Budget'!$C31</f>
        <v>343387</v>
      </c>
      <c r="D32" s="270">
        <f t="shared" si="0"/>
        <v>0</v>
      </c>
      <c r="E32" s="268"/>
      <c r="F32" s="267"/>
    </row>
    <row r="33" spans="1:6" s="352" customFormat="1">
      <c r="A33" s="145" t="s">
        <v>137</v>
      </c>
      <c r="B33" s="266">
        <f>'Sources and Uses Budget'!$C32</f>
        <v>121330</v>
      </c>
      <c r="C33" s="266">
        <f>'Sources and Uses Budget'!$C32</f>
        <v>121330</v>
      </c>
      <c r="D33" s="270">
        <f t="shared" si="0"/>
        <v>0</v>
      </c>
      <c r="E33" s="268"/>
      <c r="F33" s="267"/>
    </row>
    <row r="34" spans="1:6" s="352" customFormat="1">
      <c r="A34" s="145" t="s">
        <v>138</v>
      </c>
      <c r="B34" s="266">
        <f>'Sources and Uses Budget'!$C33</f>
        <v>363990</v>
      </c>
      <c r="C34" s="266">
        <f>'Sources and Uses Budget'!$C33</f>
        <v>363990</v>
      </c>
      <c r="D34" s="270">
        <f t="shared" si="0"/>
        <v>0</v>
      </c>
      <c r="E34" s="268"/>
      <c r="F34" s="267"/>
    </row>
    <row r="35" spans="1:6" s="352" customFormat="1">
      <c r="A35" s="145" t="s">
        <v>139</v>
      </c>
      <c r="B35" s="266">
        <f>'Sources and Uses Budget'!$C34</f>
        <v>400000</v>
      </c>
      <c r="C35" s="266">
        <f>'Sources and Uses Budget'!$C34</f>
        <v>400000</v>
      </c>
      <c r="D35" s="270">
        <f t="shared" si="0"/>
        <v>0</v>
      </c>
      <c r="E35" s="268"/>
      <c r="F35" s="267"/>
    </row>
    <row r="36" spans="1:6" s="352" customFormat="1">
      <c r="A36" s="145" t="s">
        <v>140</v>
      </c>
      <c r="B36" s="266">
        <f>'Sources and Uses Budget'!$C35</f>
        <v>196554</v>
      </c>
      <c r="C36" s="266">
        <f>'Sources and Uses Budget'!$C35</f>
        <v>196554</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Modulars</v>
      </c>
      <c r="B38" s="266">
        <f>'Sources and Uses Budget'!$C37</f>
        <v>2271782</v>
      </c>
      <c r="C38" s="266">
        <f>'Sources and Uses Budget'!$C37</f>
        <v>2271782</v>
      </c>
      <c r="D38" s="270">
        <f t="shared" si="0"/>
        <v>0</v>
      </c>
      <c r="E38" s="268"/>
      <c r="F38" s="267"/>
    </row>
    <row r="39" spans="1:6" s="352" customFormat="1">
      <c r="A39" s="271" t="s">
        <v>143</v>
      </c>
      <c r="B39" s="270">
        <f>SUM(B30:B38)</f>
        <v>9420152</v>
      </c>
      <c r="C39" s="270">
        <f>SUM(C30:C38)</f>
        <v>9420152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500000</v>
      </c>
      <c r="C41" s="266">
        <f>'Sources and Uses Budget'!$C40</f>
        <v>500000</v>
      </c>
      <c r="D41" s="270">
        <f t="shared" si="0"/>
        <v>0</v>
      </c>
      <c r="E41" s="268"/>
      <c r="F41" s="267"/>
    </row>
    <row r="42" spans="1:6" s="352" customFormat="1">
      <c r="A42" s="269" t="s">
        <v>146</v>
      </c>
      <c r="B42" s="266">
        <f>'Sources and Uses Budget'!$C41</f>
        <v>100000</v>
      </c>
      <c r="C42" s="266">
        <f>'Sources and Uses Budget'!$C41</f>
        <v>100000</v>
      </c>
      <c r="D42" s="270">
        <f t="shared" si="0"/>
        <v>0</v>
      </c>
      <c r="E42" s="268"/>
      <c r="F42" s="267"/>
    </row>
    <row r="43" spans="1:6" s="352" customFormat="1">
      <c r="A43" s="271" t="s">
        <v>147</v>
      </c>
      <c r="B43" s="270">
        <f>SUM(B41:B42)</f>
        <v>600000</v>
      </c>
      <c r="C43" s="270">
        <f>SUM(C41:C42)</f>
        <v>600000</v>
      </c>
      <c r="D43" s="270">
        <f t="shared" si="0"/>
        <v>0</v>
      </c>
      <c r="E43" s="268"/>
      <c r="F43" s="267"/>
    </row>
    <row r="44" spans="1:6" s="352" customFormat="1">
      <c r="A44" s="271" t="s">
        <v>148</v>
      </c>
      <c r="B44" s="266">
        <f>'Sources and Uses Budget'!$C43</f>
        <v>350000</v>
      </c>
      <c r="C44" s="266">
        <f>'Sources and Uses Budget'!$C43</f>
        <v>350000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159730</v>
      </c>
      <c r="C46" s="266">
        <f>'Sources and Uses Budget'!$C45</f>
        <v>159730</v>
      </c>
      <c r="D46" s="270">
        <f t="shared" si="0"/>
        <v>0</v>
      </c>
      <c r="E46" s="268"/>
      <c r="F46" s="267"/>
    </row>
    <row r="47" spans="1:6" s="352" customFormat="1">
      <c r="A47" s="145" t="s">
        <v>151</v>
      </c>
      <c r="B47" s="266">
        <f>'Sources and Uses Budget'!$C46</f>
        <v>96414</v>
      </c>
      <c r="C47" s="266">
        <f>'Sources and Uses Budget'!$C46</f>
        <v>96414</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11070</v>
      </c>
      <c r="C52" s="266">
        <f>'Sources and Uses Budget'!$C51</f>
        <v>11070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362214</v>
      </c>
      <c r="C55" s="273">
        <f>SUM(C46:C54)</f>
        <v>362214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 xml:space="preserve">Cost of Issuance </v>
      </c>
      <c r="B62" s="266">
        <f>'Sources and Uses Budget'!$C61</f>
        <v>165516</v>
      </c>
      <c r="C62" s="266">
        <f>'Sources and Uses Budget'!$C61</f>
        <v>165516</v>
      </c>
      <c r="D62" s="270">
        <f t="shared" si="0"/>
        <v>0</v>
      </c>
      <c r="E62" s="268"/>
      <c r="F62" s="267"/>
    </row>
    <row r="63" spans="1:6" s="352" customFormat="1" ht="13.7" customHeight="1">
      <c r="A63" s="271" t="s">
        <v>301</v>
      </c>
      <c r="B63" s="270">
        <f>SUM(B57:B62)</f>
        <v>180516</v>
      </c>
      <c r="C63" s="270">
        <f>SUM(C57:C62)</f>
        <v>180516</v>
      </c>
      <c r="D63" s="270">
        <f t="shared" si="0"/>
        <v>0</v>
      </c>
      <c r="E63" s="268"/>
      <c r="F63" s="267"/>
    </row>
    <row r="64" spans="1:6" s="352" customFormat="1">
      <c r="A64" s="274" t="s">
        <v>302</v>
      </c>
      <c r="B64" s="270">
        <f>SUM(B9+B12+B14+B15+B17+B26+B28+B39+B43+B44+B55+B63)</f>
        <v>14337882</v>
      </c>
      <c r="C64" s="270">
        <f>SUM(C9+C12+C14+C15+C17+C26+C28+C39+C43+C44+C55+C63)</f>
        <v>14337882</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 xml:space="preserve">Borrowers Attorney </v>
      </c>
      <c r="B70" s="266">
        <f>'Sources and Uses Budget'!$C69</f>
        <v>50000</v>
      </c>
      <c r="C70" s="266">
        <f>'Sources and Uses Budget'!$C69</f>
        <v>50000</v>
      </c>
      <c r="D70" s="270">
        <f t="shared" si="0"/>
        <v>0</v>
      </c>
      <c r="E70" s="268"/>
      <c r="F70" s="267"/>
    </row>
    <row r="71" spans="1:6" s="352" customFormat="1">
      <c r="A71" s="149" t="s">
        <v>1646</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108795</v>
      </c>
      <c r="C76" s="266">
        <f>'Sources and Uses Budget'!$C75</f>
        <v>108795</v>
      </c>
      <c r="D76" s="270">
        <f t="shared" si="0"/>
        <v>0</v>
      </c>
      <c r="E76" s="268"/>
      <c r="F76" s="267"/>
    </row>
    <row r="77" spans="1:6" s="352" customFormat="1">
      <c r="A77" s="272" t="s">
        <v>34</v>
      </c>
      <c r="B77" s="266">
        <f>'Sources and Uses Budget'!$C76</f>
        <v>261750</v>
      </c>
      <c r="C77" s="266">
        <f>'Sources and Uses Budget'!$C76</f>
        <v>261750</v>
      </c>
      <c r="D77" s="270">
        <f t="shared" si="0"/>
        <v>0</v>
      </c>
      <c r="E77" s="268"/>
      <c r="F77" s="267"/>
    </row>
    <row r="78" spans="1:6" s="352" customFormat="1">
      <c r="A78" s="271" t="s">
        <v>607</v>
      </c>
      <c r="B78" s="270">
        <f>SUM(B73:B77)</f>
        <v>400545</v>
      </c>
      <c r="C78" s="270">
        <f>SUM(C73:C77)</f>
        <v>400545</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942015</v>
      </c>
      <c r="C80" s="266">
        <f>'Sources and Uses Budget'!$C79</f>
        <v>942015</v>
      </c>
      <c r="D80" s="270">
        <f t="shared" si="1"/>
        <v>0</v>
      </c>
      <c r="E80" s="268"/>
      <c r="F80" s="267"/>
    </row>
    <row r="81" spans="1:6" s="352" customFormat="1">
      <c r="A81" s="510" t="s">
        <v>58</v>
      </c>
      <c r="B81" s="266">
        <f>'Sources and Uses Budget'!$C80</f>
        <v>108106</v>
      </c>
      <c r="C81" s="266">
        <f>'Sources and Uses Budget'!$C80</f>
        <v>108106</v>
      </c>
      <c r="D81" s="270">
        <f>C81-B81</f>
        <v>0</v>
      </c>
      <c r="E81" s="268"/>
      <c r="F81" s="267"/>
    </row>
    <row r="82" spans="1:6" s="352" customFormat="1">
      <c r="A82" s="271" t="s">
        <v>1210</v>
      </c>
      <c r="B82" s="270">
        <f>SUM(B80:B81)</f>
        <v>1050121</v>
      </c>
      <c r="C82" s="270">
        <f>SUM(C80:C81)</f>
        <v>1050121</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51996</v>
      </c>
      <c r="C84" s="266">
        <f>'Sources and Uses Budget'!$C83</f>
        <v>51996</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8114</v>
      </c>
      <c r="C86" s="266">
        <f>'Sources and Uses Budget'!$C85</f>
        <v>8114</v>
      </c>
      <c r="D86" s="270">
        <f t="shared" si="1"/>
        <v>0</v>
      </c>
      <c r="E86" s="268"/>
      <c r="F86" s="267"/>
    </row>
    <row r="87" spans="1:6" s="352" customFormat="1">
      <c r="A87" s="269" t="s">
        <v>770</v>
      </c>
      <c r="B87" s="266">
        <f>'Sources and Uses Budget'!$C86</f>
        <v>791886</v>
      </c>
      <c r="C87" s="266">
        <f>'Sources and Uses Budget'!$C86</f>
        <v>791886</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40000</v>
      </c>
      <c r="C89" s="266">
        <f>'Sources and Uses Budget'!$C88</f>
        <v>40000</v>
      </c>
      <c r="D89" s="270">
        <f t="shared" si="1"/>
        <v>0</v>
      </c>
      <c r="E89" s="268"/>
      <c r="F89" s="267"/>
    </row>
    <row r="90" spans="1:6" s="352" customFormat="1">
      <c r="A90" s="269" t="s">
        <v>773</v>
      </c>
      <c r="B90" s="266">
        <f>'Sources and Uses Budget'!$C89</f>
        <v>140000</v>
      </c>
      <c r="C90" s="266">
        <f>'Sources and Uses Budget'!$C89</f>
        <v>140000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43530</v>
      </c>
      <c r="C94" s="266">
        <f>'Sources and Uses Budget'!$C93</f>
        <v>43530</v>
      </c>
      <c r="D94" s="270">
        <f t="shared" si="1"/>
        <v>0</v>
      </c>
      <c r="E94" s="268"/>
      <c r="F94" s="267"/>
    </row>
    <row r="95" spans="1:6" s="352" customFormat="1">
      <c r="A95" s="272" t="s">
        <v>34</v>
      </c>
      <c r="B95" s="266">
        <f>'Sources and Uses Budget'!$C94</f>
        <v>194001</v>
      </c>
      <c r="C95" s="266">
        <f>'Sources and Uses Budget'!$C94</f>
        <v>194001</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1339027</v>
      </c>
      <c r="C97" s="270">
        <f>SUM(C84:C96)</f>
        <v>1339027</v>
      </c>
      <c r="D97" s="270">
        <f t="shared" si="1"/>
        <v>0</v>
      </c>
      <c r="E97" s="268"/>
      <c r="F97" s="267"/>
    </row>
    <row r="98" spans="1:6" s="352" customFormat="1">
      <c r="A98" s="271" t="s">
        <v>776</v>
      </c>
      <c r="B98" s="270">
        <f>SUM(B64+B71+B78+B82+B97)</f>
        <v>17242575</v>
      </c>
      <c r="C98" s="270">
        <f>SUM(C64+C71+C78+C82+C97)</f>
        <v>17242575</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1971677</v>
      </c>
      <c r="C100" s="266">
        <f>'Sources and Uses Budget'!$C99</f>
        <v>1971677</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1971677</v>
      </c>
      <c r="C105" s="270">
        <f>SUM(C100:C104)</f>
        <v>1971677</v>
      </c>
      <c r="D105" s="270">
        <f t="shared" si="1"/>
        <v>0</v>
      </c>
      <c r="E105" s="268"/>
      <c r="F105" s="267"/>
    </row>
    <row r="106" spans="1:6" s="352" customFormat="1">
      <c r="A106" s="271" t="s">
        <v>781</v>
      </c>
      <c r="B106" s="273">
        <f>SUM(B98+B105)</f>
        <v>19214252</v>
      </c>
      <c r="C106" s="273">
        <f>SUM(C98+C105)</f>
        <v>19214252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307</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307</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307</v>
      </c>
      <c r="D24" s="1301" t="s">
        <v>1092</v>
      </c>
      <c r="E24" s="1301"/>
      <c r="F24" s="1301"/>
      <c r="I24" s="490"/>
    </row>
    <row r="25" spans="1:9" ht="14.25">
      <c r="A25" s="484"/>
      <c r="B25" s="484"/>
      <c r="D25" s="1301"/>
      <c r="E25" s="1301"/>
      <c r="F25" s="1301"/>
      <c r="I25" s="490"/>
    </row>
    <row r="26" spans="1:9">
      <c r="I26" s="490"/>
    </row>
    <row r="27" spans="1:9" ht="14.25">
      <c r="A27" s="484"/>
      <c r="B27" s="485" t="s">
        <v>307</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1098</v>
      </c>
      <c r="E65" s="1301"/>
      <c r="F65" s="1301"/>
      <c r="I65" s="490"/>
    </row>
    <row r="66" spans="1:9">
      <c r="D66" s="1301"/>
      <c r="E66" s="1301"/>
      <c r="F66" s="1301"/>
      <c r="I66" s="490"/>
    </row>
    <row r="67" spans="1:9">
      <c r="I67" s="490"/>
    </row>
    <row r="68" spans="1:9" ht="14.25">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307</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307</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307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307</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2058</v>
      </c>
      <c r="E360" s="1318"/>
      <c r="F360" s="1318"/>
      <c r="I360" s="480"/>
    </row>
    <row r="361" spans="1:9">
      <c r="A361" s="476"/>
      <c r="B361" s="476"/>
      <c r="C361" s="476"/>
      <c r="D361" s="447"/>
      <c r="E361" s="447"/>
      <c r="F361" s="446"/>
      <c r="I361" s="490"/>
    </row>
    <row r="362" spans="1:9">
      <c r="A362" s="476"/>
      <c r="B362" s="485" t="s">
        <v>307</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307</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307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1144</v>
      </c>
      <c r="E509" s="1299"/>
      <c r="F509" s="1299"/>
      <c r="I509" s="490"/>
    </row>
    <row r="510" spans="1:9" ht="14.25">
      <c r="A510" s="484"/>
      <c r="B510" s="484"/>
      <c r="D510" s="446"/>
      <c r="I510" s="490"/>
    </row>
    <row r="511" spans="1:9" ht="14.25">
      <c r="A511" s="484"/>
      <c r="B511" s="485" t="s">
        <v>307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307</v>
      </c>
      <c r="C548" s="487"/>
      <c r="D548" s="1299" t="s">
        <v>885</v>
      </c>
      <c r="E548" s="1299"/>
      <c r="F548" s="1299"/>
      <c r="I548" s="490"/>
    </row>
    <row r="549" spans="1:9" ht="13.7" customHeight="1">
      <c r="A549" s="487"/>
      <c r="B549" s="487"/>
      <c r="C549" s="487"/>
      <c r="D549" s="446"/>
      <c r="I549" s="490"/>
    </row>
    <row r="550" spans="1:9" ht="14.25">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2470</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16" workbookViewId="0">
      <selection activeCell="AM920" sqref="AM92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20</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2511</v>
      </c>
      <c r="BE8" s="1249">
        <f>SUMIF($AC$718:$AC$752,"&lt;=35%",$G$718:G$752)-SUM($BE$5:BE7)</f>
        <v>0</v>
      </c>
    </row>
    <row r="9" spans="1:58" ht="12.95"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2503</v>
      </c>
      <c r="BE9" s="1249">
        <f>SUMIF($AC$718:$AC$752,"&lt;=40%",$G$718:G$752)-SUM($BE$5:BE8)</f>
        <v>0</v>
      </c>
    </row>
    <row r="10" spans="1:58" ht="12.95" customHeight="1">
      <c r="A10" s="1372" t="s">
        <v>2460</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2512</v>
      </c>
      <c r="BE10" s="1249">
        <f>SUMIF($AC$718:$AC$752,"&lt;=45%",$G$718:G$752)-SUM($BE$5:BE9)</f>
        <v>0</v>
      </c>
    </row>
    <row r="11" spans="1:58" ht="12.95" customHeight="1">
      <c r="A11" s="1372" t="s">
        <v>2606</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2504</v>
      </c>
      <c r="BE11" s="1249">
        <f>SUMIF($AC$718:$AC$752,"&lt;=50%",$G$718:G$752)-SUM($BE$5:BE10)</f>
        <v>0</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2513</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2080</v>
      </c>
      <c r="C16" s="4"/>
      <c r="D16" s="4"/>
      <c r="E16" s="4"/>
      <c r="F16" s="4"/>
      <c r="G16" s="4"/>
      <c r="H16" s="1419" t="s">
        <v>2617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 xml:space="preserve">Santa Cruz Veterans Village </v>
      </c>
    </row>
    <row r="17" spans="1:58" ht="12.95" customHeight="1">
      <c r="BD17" s="1247" t="s">
        <v>2520</v>
      </c>
      <c r="BE17" s="1249">
        <f>Application!AA934</f>
        <v>0</v>
      </c>
    </row>
    <row r="18" spans="1:58" ht="12.95" customHeight="1">
      <c r="A18" s="57" t="s">
        <v>101</v>
      </c>
      <c r="C18" s="4"/>
      <c r="D18" s="4"/>
      <c r="E18" s="4"/>
      <c r="F18" s="4"/>
      <c r="G18" s="4"/>
      <c r="H18" s="1416" t="s">
        <v>2612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2521</v>
      </c>
      <c r="BE18" s="1249">
        <f>'CalHFA Addendum'!N11</f>
        <v>0</v>
      </c>
    </row>
    <row r="19" spans="1:58" ht="12.95" customHeight="1">
      <c r="BD19" s="1247" t="s">
        <v>2522</v>
      </c>
      <c r="BE19" s="1249">
        <f>Application!M26</f>
        <v>786042</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2523</v>
      </c>
      <c r="BE20" s="1249">
        <f>Application!M27</f>
        <v>4199991</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2524</v>
      </c>
      <c r="BE21" s="1249">
        <f>Application!AM554</f>
        <v>9641421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19214252</v>
      </c>
      <c r="BF22" s="3" t="s">
        <v>2597</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553500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11928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18">
        <f>'Basis &amp; Credits'!AB56</f>
        <v>786042</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4199991</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2529</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2530</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2598</v>
      </c>
      <c r="BE33" s="1249" t="str">
        <f>Application!D220</f>
        <v>Central Coast Region: Monterey, San Luis Obispo, Santa Barbara, Santa Cruz, and Ventura Counties</v>
      </c>
    </row>
    <row r="34" spans="1:57" ht="12.95"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2532</v>
      </c>
      <c r="BE34" s="1249" t="str">
        <f>Application!I185</f>
        <v xml:space="preserve">8705 Hwy 9 </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2533</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2534</v>
      </c>
      <c r="BE36" s="1249" t="str">
        <f>Application!I189</f>
        <v xml:space="preserve">Ben Lomond </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2535</v>
      </c>
      <c r="BE37" s="1249" t="str">
        <f>Application!T189</f>
        <v>Santa Cruz</v>
      </c>
    </row>
    <row r="38" spans="1:57" ht="12.95" customHeight="1">
      <c r="A38" s="3"/>
      <c r="AZ38" s="20"/>
      <c r="BD38" s="1248" t="s">
        <v>2536</v>
      </c>
      <c r="BE38" s="1249">
        <f>Application!I190</f>
        <v>95005</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21</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20</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0.30000000000000004</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0.25752952944493818</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914964.38095238095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21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 xml:space="preserve">Santa Cruz Veterans Memorial Building Board of Trustees </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 xml:space="preserve">Jack Tracy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Ben Lomond Highway 9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 xml:space="preserve">Chris Dart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Johnson &amp; Johnson Investments, LLC</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Danco Communities</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Arcata, CA 95521</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Chris Dart</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0.85</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0.85000200000000004</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2595</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2560</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2561</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2563</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2564</v>
      </c>
      <c r="BE70" s="1249">
        <f>'Points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2566</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2567</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6" t="s">
        <v>2161</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2569</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2570</v>
      </c>
      <c r="BE76" s="1249">
        <f>'Points System'!AF811</f>
        <v>10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2573</v>
      </c>
      <c r="BE79" s="1249">
        <f>'Points System'!AF815</f>
        <v>10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2574</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0.87521574146475412</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County of Santa Cruz</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Carlos Nuno</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701 Ocean Street, Room 510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Santa Cruz</v>
      </c>
    </row>
    <row r="89" spans="1:57" ht="12.95" customHeight="1">
      <c r="A89" s="1785" t="s">
        <v>2165</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2583</v>
      </c>
      <c r="BE89" s="1249">
        <f>Application!O158</f>
        <v>95060</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2584</v>
      </c>
      <c r="BE90" s="1249" t="str">
        <f>Application!H16</f>
        <v xml:space="preserve">Santa Cruz Veterans Memorial Building Board of Trustees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PO Box 1303</v>
      </c>
    </row>
    <row r="92" spans="1:57" ht="12.95" customHeight="1">
      <c r="A92" s="1786" t="s">
        <v>2166</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2586</v>
      </c>
      <c r="BE92" s="1249" t="str">
        <f>Application!M234</f>
        <v xml:space="preserve">Santa Cruz </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2587</v>
      </c>
      <c r="BE93" s="1249" t="str">
        <f>Application!W234</f>
        <v>CA</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2588</v>
      </c>
      <c r="BE94" s="1249">
        <f>Application!AC234</f>
        <v>95061</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2589</v>
      </c>
      <c r="BE95" s="1249" t="str">
        <f>Application!M235</f>
        <v xml:space="preserve">Jack Tracy </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2590</v>
      </c>
      <c r="BE96" s="1249" t="str">
        <f>Application!M237</f>
        <v>jackt1951@gmail.com</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2591</v>
      </c>
      <c r="BE97" s="1249" t="str">
        <f>Application!M248</f>
        <v>jackt1951@gmail.com</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2592</v>
      </c>
      <c r="BE98" s="1249" t="str">
        <f>Application!M256</f>
        <v>cdart@danco-group.com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87" t="s">
        <v>2167</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2594</v>
      </c>
      <c r="BE100" s="1249" t="str">
        <f>Application!L279</f>
        <v xml:space="preserve">hwilson@danco-group.com </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2599</v>
      </c>
      <c r="BE101">
        <f>'Sources and Uses Budget'!C105</f>
        <v>19214252</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2600</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2177</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2168</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c r="H113" s="1788"/>
      <c r="I113" s="3" t="s">
        <v>182</v>
      </c>
      <c r="L113" s="1788"/>
      <c r="M113" s="1788"/>
      <c r="N113" s="1788"/>
      <c r="O113" s="1788"/>
      <c r="P113" s="1794" t="s">
        <v>2241</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c r="D115" s="1799"/>
      <c r="E115" s="1799"/>
      <c r="F115" s="1799"/>
      <c r="G115" s="1799"/>
      <c r="H115" s="1799"/>
      <c r="I115" s="1799"/>
      <c r="J115" s="1799"/>
      <c r="K115" s="179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8"/>
      <c r="Z117" s="1788"/>
      <c r="AA117" s="1788"/>
      <c r="AB117" s="1788"/>
      <c r="AC117" s="1788"/>
      <c r="AD117" s="1788"/>
      <c r="AE117" s="1788"/>
      <c r="AF117" s="1788"/>
      <c r="AG117" s="1788"/>
      <c r="AH117" s="1788"/>
      <c r="AI117" s="1788"/>
      <c r="AJ117" s="1788"/>
      <c r="AK117" s="178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Santa Cruz</v>
      </c>
      <c r="DH122" s="1655"/>
      <c r="DI122" s="1655"/>
      <c r="DJ122" s="1655"/>
      <c r="DK122" s="1655"/>
      <c r="DL122" s="1655"/>
      <c r="DM122" s="1656"/>
    </row>
    <row r="123" spans="1:117" ht="12.95" customHeight="1">
      <c r="A123" s="3"/>
      <c r="B123" s="3"/>
      <c r="T123" s="3"/>
      <c r="U123" s="3"/>
      <c r="V123" s="3"/>
      <c r="W123" s="3"/>
      <c r="X123" s="3"/>
      <c r="Y123" s="1788"/>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416" t="s">
        <v>2696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545" t="s">
        <v>2697</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16" t="s">
        <v>2698</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193</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95060</v>
      </c>
      <c r="P158" s="1791"/>
      <c r="Q158" s="1791"/>
      <c r="R158" s="179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v>8314545320</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4" t="s">
        <v>2699</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0" t="s">
        <v>2218</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802">
        <v>25</v>
      </c>
      <c r="V176" s="1425"/>
      <c r="W176" s="1" t="s">
        <v>306</v>
      </c>
      <c r="X176" s="1783">
        <v>70</v>
      </c>
      <c r="Y176" s="1783"/>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2"/>
      <c r="AG178" s="1782"/>
      <c r="AH178" s="1" t="s">
        <v>306</v>
      </c>
      <c r="AI178" s="1804"/>
      <c r="AJ178" s="1804"/>
      <c r="AK178" s="1804"/>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 xml:space="preserve">Santa Cruz Veterans Village </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2613</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2614</v>
      </c>
      <c r="J189" s="1371"/>
      <c r="K189" s="1371"/>
      <c r="L189" s="1371"/>
      <c r="M189" s="1371"/>
      <c r="N189" s="1371"/>
      <c r="O189" s="1371"/>
      <c r="P189" s="1371"/>
      <c r="Q189" t="s">
        <v>583</v>
      </c>
      <c r="T189" s="1371" t="s">
        <v>193</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95005</v>
      </c>
      <c r="J190" s="1348"/>
      <c r="K190" s="1348"/>
      <c r="L190" s="1348"/>
      <c r="M190" s="1348"/>
      <c r="N190" s="1348"/>
      <c r="O190" t="s">
        <v>586</v>
      </c>
      <c r="T190" s="1789">
        <v>1203.02</v>
      </c>
      <c r="U190" s="1789"/>
      <c r="V190" s="1789"/>
      <c r="W190" s="1789"/>
      <c r="X190" s="1789"/>
      <c r="Y190" s="1789"/>
      <c r="Z190" s="1789"/>
      <c r="AA190" s="1789"/>
      <c r="AB190" s="1789"/>
      <c r="AC190" s="1789"/>
      <c r="AD190" s="1789"/>
      <c r="AE190" s="1789"/>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3" t="s">
        <v>2615</v>
      </c>
      <c r="O191" s="1803"/>
      <c r="P191" s="1803"/>
      <c r="Q191" s="1803"/>
      <c r="R191" s="1803"/>
      <c r="S191" s="1803"/>
      <c r="T191" s="1803"/>
      <c r="U191" s="1803"/>
      <c r="V191" s="1803"/>
      <c r="W191" s="1803"/>
      <c r="X191" s="1803"/>
      <c r="Y191" s="1803"/>
      <c r="Z191" s="1803"/>
      <c r="AA191" s="1803"/>
      <c r="AB191" s="1803"/>
      <c r="AC191" s="1803"/>
      <c r="AD191" s="1803"/>
      <c r="AE191" s="1803"/>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3" t="s">
        <v>1939</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19</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28</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17</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v>0</v>
      </c>
      <c r="U198" s="1402"/>
      <c r="V198"/>
      <c r="X198" s="1413" t="s">
        <v>2515</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t="s">
        <v>546</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1">
        <f>M26</f>
        <v>786042</v>
      </c>
      <c r="Q204" s="1781"/>
      <c r="R204" s="1781"/>
      <c r="S204" s="1781"/>
      <c r="T204" s="1781"/>
      <c r="U204" s="178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1" t="s">
        <v>1248</v>
      </c>
      <c r="E205" s="1358"/>
      <c r="F205" s="1358"/>
      <c r="G205" s="1358"/>
      <c r="H205" s="1358"/>
      <c r="I205" s="1358"/>
      <c r="J205" s="1358"/>
      <c r="K205" s="1358"/>
      <c r="L205" s="1358"/>
      <c r="M205" s="1358"/>
      <c r="P205" s="1781">
        <f>M27</f>
        <v>4199991</v>
      </c>
      <c r="Q205" s="1781"/>
      <c r="R205" s="1781"/>
      <c r="S205" s="1781"/>
      <c r="T205" s="1781"/>
      <c r="U205" s="1781"/>
      <c r="V205" s="28"/>
      <c r="W205" s="3" t="s">
        <v>1721</v>
      </c>
      <c r="Z205" s="1809" t="s">
        <v>2221</v>
      </c>
      <c r="AA205" s="1809"/>
      <c r="AB205" s="1809"/>
      <c r="AC205" s="1809"/>
      <c r="AD205" s="1809"/>
      <c r="AE205" s="1809"/>
      <c r="AF205" s="1809"/>
      <c r="AG205" s="1809"/>
      <c r="AH205" s="1809"/>
      <c r="AI205" s="1809"/>
      <c r="AJ205" s="1809"/>
      <c r="AK205" s="1809"/>
      <c r="AL205" s="1809"/>
      <c r="AM205" s="1809"/>
      <c r="AN205" s="1809"/>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2616</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1044</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20</v>
      </c>
      <c r="R212" s="1332"/>
      <c r="T212" s="1795">
        <f>IFERROR(Q212/AG440,0)</f>
        <v>1</v>
      </c>
      <c r="U212" s="179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417" t="s">
        <v>2208</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0" t="s">
        <v>2467</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0" t="str">
        <f>H16</f>
        <v xml:space="preserve">Santa Cruz Veterans Memorial Building Board of Trustees </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2618</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2622</v>
      </c>
      <c r="N234" s="1417"/>
      <c r="O234" s="1417"/>
      <c r="P234" s="1417"/>
      <c r="Q234" s="1417"/>
      <c r="R234" s="1417"/>
      <c r="S234" s="1417"/>
      <c r="T234" s="1417"/>
      <c r="V234" s="33" t="s">
        <v>86</v>
      </c>
      <c r="W234" s="1545" t="s">
        <v>2619</v>
      </c>
      <c r="X234" s="1436"/>
      <c r="Y234" s="4" t="s">
        <v>584</v>
      </c>
      <c r="AC234" s="1417">
        <v>95061</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2620</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8314406416</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4" t="s">
        <v>2621</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377</v>
      </c>
      <c r="N238" s="1348"/>
      <c r="O238" s="1348"/>
      <c r="P238" s="1348"/>
      <c r="Q238" s="1348"/>
      <c r="R238" s="1348"/>
      <c r="S238" s="1348"/>
      <c r="T238" s="1348"/>
      <c r="U238" s="204" t="s">
        <v>907</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2617</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307</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6" t="s">
        <v>2618</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2622</v>
      </c>
      <c r="N245" s="1417"/>
      <c r="O245" s="1417"/>
      <c r="P245" s="1417"/>
      <c r="Q245" s="1417"/>
      <c r="R245" s="1417"/>
      <c r="S245" s="1417"/>
      <c r="T245" s="1417"/>
      <c r="V245" s="33" t="s">
        <v>86</v>
      </c>
      <c r="W245" s="1545" t="s">
        <v>2619</v>
      </c>
      <c r="X245" s="1436"/>
      <c r="Y245" s="4" t="s">
        <v>584</v>
      </c>
      <c r="AC245" s="1417">
        <v>95061</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2620</v>
      </c>
      <c r="N246" s="1417"/>
      <c r="O246" s="1417"/>
      <c r="P246" s="1417"/>
      <c r="Q246" s="1417"/>
      <c r="R246" s="1417"/>
      <c r="S246" s="1417"/>
      <c r="T246" s="1417"/>
      <c r="U246" s="1417"/>
      <c r="V246" s="1417"/>
      <c r="W246" s="1417"/>
      <c r="X246" s="1417"/>
      <c r="Y246" s="1417"/>
      <c r="Z246" s="1417"/>
      <c r="AA246" s="1417"/>
      <c r="AB246" s="1417"/>
      <c r="AC246" s="1417"/>
      <c r="AD246" s="1417"/>
      <c r="AE246" s="1417"/>
      <c r="AH246" s="1778"/>
      <c r="AI246" s="1778"/>
      <c r="AJ246" s="1778"/>
      <c r="AK246" s="177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v>8314406416</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4" t="s">
        <v>2621</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76"/>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2685</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2623</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6" t="s">
        <v>2624</v>
      </c>
      <c r="N253" s="1417"/>
      <c r="O253" s="1417"/>
      <c r="P253" s="1417"/>
      <c r="Q253" s="1417"/>
      <c r="R253" s="1417"/>
      <c r="S253" s="1417"/>
      <c r="T253" s="1417"/>
      <c r="V253" s="33" t="s">
        <v>86</v>
      </c>
      <c r="W253" s="1545" t="s">
        <v>2619</v>
      </c>
      <c r="X253" s="1436"/>
      <c r="Y253" s="4" t="s">
        <v>584</v>
      </c>
      <c r="AC253" s="1417">
        <v>95521</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2625</v>
      </c>
      <c r="N254" s="1417"/>
      <c r="O254" s="1417"/>
      <c r="P254" s="1417"/>
      <c r="Q254" s="1417"/>
      <c r="R254" s="1417"/>
      <c r="S254" s="1417"/>
      <c r="T254" s="1417"/>
      <c r="U254" s="1417"/>
      <c r="V254" s="1417"/>
      <c r="W254" s="1417"/>
      <c r="X254" s="1417"/>
      <c r="Y254" s="1417"/>
      <c r="Z254" s="1417"/>
      <c r="AA254" s="1417"/>
      <c r="AB254" s="1417"/>
      <c r="AC254" s="1417"/>
      <c r="AD254" s="1417"/>
      <c r="AE254" s="1417"/>
      <c r="AH254" s="1778"/>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6">
        <v>7078229000</v>
      </c>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4" t="s">
        <v>2626</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537</v>
      </c>
      <c r="N257" s="1348"/>
      <c r="O257" s="1348"/>
      <c r="P257" s="1348"/>
      <c r="Q257" s="1348"/>
      <c r="R257" s="1348"/>
      <c r="S257" s="1348"/>
      <c r="T257" s="1348"/>
      <c r="U257" s="204" t="s">
        <v>907</v>
      </c>
      <c r="V257" s="204"/>
      <c r="W257" s="204"/>
      <c r="X257" s="204"/>
      <c r="Y257" s="204"/>
      <c r="Z257" s="204"/>
      <c r="AA257" s="1775" t="s">
        <v>2684</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2627</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2623</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2628</v>
      </c>
      <c r="M276" s="1417"/>
      <c r="N276" s="1417"/>
      <c r="O276" s="1417"/>
      <c r="P276" s="1417"/>
      <c r="Q276" s="1417"/>
      <c r="R276" s="1417"/>
      <c r="S276" s="1417"/>
      <c r="U276" s="33" t="s">
        <v>86</v>
      </c>
      <c r="V276" s="1545" t="s">
        <v>2619</v>
      </c>
      <c r="W276" s="1436"/>
      <c r="X276" s="4" t="s">
        <v>584</v>
      </c>
      <c r="AB276" s="1417">
        <v>95521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2629</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v>7078229000</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84" t="s">
        <v>2630</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624</v>
      </c>
      <c r="E280" s="3"/>
      <c r="F280" s="3"/>
      <c r="G280" s="3"/>
      <c r="H280" s="3"/>
      <c r="I280" s="3"/>
      <c r="L280" s="1545" t="s">
        <v>2631</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2632</v>
      </c>
      <c r="I287" s="1371"/>
      <c r="J287" s="1371"/>
      <c r="K287" s="1371"/>
      <c r="L287" s="1371"/>
      <c r="M287" s="1371"/>
      <c r="N287" s="1371"/>
      <c r="O287" s="1371"/>
      <c r="P287" s="1371"/>
      <c r="Q287" s="1371"/>
      <c r="R287" s="1371"/>
      <c r="T287" s="3" t="s">
        <v>568</v>
      </c>
      <c r="V287" s="3"/>
      <c r="W287" s="3"/>
      <c r="X287" s="3"/>
      <c r="Y287" s="3"/>
      <c r="AA287" s="1371" t="s">
        <v>2637</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2633</v>
      </c>
      <c r="I288" s="1348"/>
      <c r="J288" s="1348"/>
      <c r="K288" s="1348"/>
      <c r="L288" s="1348"/>
      <c r="M288" s="1348"/>
      <c r="N288" s="1348"/>
      <c r="O288" s="1348"/>
      <c r="P288" s="1348"/>
      <c r="Q288" s="1348"/>
      <c r="R288" s="1348"/>
      <c r="T288" s="3" t="s">
        <v>472</v>
      </c>
      <c r="V288" s="3"/>
      <c r="W288" s="3"/>
      <c r="X288" s="3"/>
      <c r="Y288" s="3"/>
      <c r="AA288" s="1348" t="s">
        <v>2638</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2634</v>
      </c>
      <c r="I289" s="1348"/>
      <c r="J289" s="1348"/>
      <c r="K289" s="1348"/>
      <c r="L289" s="1348"/>
      <c r="M289" s="1348"/>
      <c r="N289" s="1348"/>
      <c r="O289" s="1348"/>
      <c r="P289" s="1348"/>
      <c r="Q289" s="1348"/>
      <c r="R289" s="1348"/>
      <c r="T289" s="3" t="s">
        <v>75</v>
      </c>
      <c r="V289" s="3"/>
      <c r="W289" s="3"/>
      <c r="X289" s="3"/>
      <c r="Y289" s="3"/>
      <c r="AA289" s="1348" t="s">
        <v>2639</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2635</v>
      </c>
      <c r="I290" s="1348"/>
      <c r="J290" s="1348"/>
      <c r="K290" s="1348"/>
      <c r="L290" s="1348"/>
      <c r="M290" s="1348"/>
      <c r="N290" s="1348"/>
      <c r="O290" s="1348"/>
      <c r="P290" s="1348"/>
      <c r="Q290" s="1348"/>
      <c r="R290" s="1348"/>
      <c r="T290" s="3" t="s">
        <v>87</v>
      </c>
      <c r="V290" s="3"/>
      <c r="W290" s="3"/>
      <c r="X290" s="3"/>
      <c r="Y290" s="3"/>
      <c r="AA290" s="1348" t="s">
        <v>2640</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2636</v>
      </c>
      <c r="I291" s="1423"/>
      <c r="J291" s="1423"/>
      <c r="K291" s="1423"/>
      <c r="L291" s="1423"/>
      <c r="M291" s="1423"/>
      <c r="N291" s="4" t="s">
        <v>206</v>
      </c>
      <c r="O291" s="4"/>
      <c r="P291" s="1417"/>
      <c r="Q291" s="1417"/>
      <c r="R291" s="1417"/>
      <c r="S291" s="3"/>
      <c r="T291" s="3" t="s">
        <v>88</v>
      </c>
      <c r="V291" s="3"/>
      <c r="W291" s="3"/>
      <c r="X291" s="3"/>
      <c r="Y291" s="3"/>
      <c r="AA291" s="1423">
        <v>8316213926</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2626</v>
      </c>
      <c r="I293" s="1348"/>
      <c r="J293" s="1348"/>
      <c r="K293" s="1348"/>
      <c r="L293" s="1348"/>
      <c r="M293" s="1348"/>
      <c r="N293" s="1371"/>
      <c r="O293" s="1371"/>
      <c r="P293" s="1371"/>
      <c r="Q293" s="1371"/>
      <c r="R293" s="1371"/>
      <c r="S293" s="3"/>
      <c r="T293" s="3" t="s">
        <v>76</v>
      </c>
      <c r="V293" s="3"/>
      <c r="W293" s="3"/>
      <c r="X293" s="3"/>
      <c r="Y293" s="3"/>
      <c r="AA293" s="1348" t="s">
        <v>2641</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2642</v>
      </c>
      <c r="I295" s="1371"/>
      <c r="J295" s="1371"/>
      <c r="K295" s="1371"/>
      <c r="L295" s="1371"/>
      <c r="M295" s="1371"/>
      <c r="N295" s="1371"/>
      <c r="O295" s="1371"/>
      <c r="P295" s="1371"/>
      <c r="Q295" s="1371"/>
      <c r="R295" s="1371"/>
      <c r="T295" s="3" t="s">
        <v>364</v>
      </c>
      <c r="V295" s="3"/>
      <c r="W295" s="3"/>
      <c r="X295" s="3"/>
      <c r="Y295" s="3"/>
      <c r="AA295" s="1371" t="s">
        <v>2648</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2643</v>
      </c>
      <c r="I296" s="1348"/>
      <c r="J296" s="1348"/>
      <c r="K296" s="1348"/>
      <c r="L296" s="1348"/>
      <c r="M296" s="1348"/>
      <c r="N296" s="1348"/>
      <c r="O296" s="1348"/>
      <c r="P296" s="1348"/>
      <c r="Q296" s="1348"/>
      <c r="R296" s="1348"/>
      <c r="T296" s="3" t="s">
        <v>472</v>
      </c>
      <c r="V296" s="3"/>
      <c r="W296" s="3"/>
      <c r="X296" s="3"/>
      <c r="Y296" s="3"/>
      <c r="AA296" s="1348" t="s">
        <v>2649</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2644</v>
      </c>
      <c r="I297" s="1348"/>
      <c r="J297" s="1348"/>
      <c r="K297" s="1348"/>
      <c r="L297" s="1348"/>
      <c r="M297" s="1348"/>
      <c r="N297" s="1348"/>
      <c r="O297" s="1348"/>
      <c r="P297" s="1348"/>
      <c r="Q297" s="1348"/>
      <c r="R297" s="1348"/>
      <c r="T297" s="3" t="s">
        <v>75</v>
      </c>
      <c r="V297" s="3"/>
      <c r="W297" s="3"/>
      <c r="X297" s="3"/>
      <c r="Y297" s="3"/>
      <c r="AA297" s="1348" t="s">
        <v>2634</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2645</v>
      </c>
      <c r="I298" s="1348"/>
      <c r="J298" s="1348"/>
      <c r="K298" s="1348"/>
      <c r="L298" s="1348"/>
      <c r="M298" s="1348"/>
      <c r="N298" s="1348"/>
      <c r="O298" s="1348"/>
      <c r="P298" s="1348"/>
      <c r="Q298" s="1348"/>
      <c r="R298" s="1348"/>
      <c r="T298" s="3" t="s">
        <v>87</v>
      </c>
      <c r="V298" s="3"/>
      <c r="W298" s="3"/>
      <c r="X298" s="3"/>
      <c r="Y298" s="3"/>
      <c r="AA298" s="1348" t="s">
        <v>2635</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2646</v>
      </c>
      <c r="I299" s="1423"/>
      <c r="J299" s="1423"/>
      <c r="K299" s="1423"/>
      <c r="L299" s="1423"/>
      <c r="M299" s="1423"/>
      <c r="N299" s="4" t="s">
        <v>206</v>
      </c>
      <c r="O299" s="4"/>
      <c r="P299" s="1417"/>
      <c r="Q299" s="1417"/>
      <c r="R299" s="1417"/>
      <c r="S299" s="3"/>
      <c r="T299" s="3" t="s">
        <v>88</v>
      </c>
      <c r="V299" s="3"/>
      <c r="W299" s="3"/>
      <c r="X299" s="3"/>
      <c r="Y299" s="3"/>
      <c r="AA299" s="1423" t="s">
        <v>2650</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t="s">
        <v>2651</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2647</v>
      </c>
      <c r="I301" s="1348"/>
      <c r="J301" s="1348"/>
      <c r="K301" s="1348"/>
      <c r="L301" s="1348"/>
      <c r="M301" s="1348"/>
      <c r="N301" s="1371"/>
      <c r="O301" s="1371"/>
      <c r="P301" s="1371"/>
      <c r="Q301" s="1371"/>
      <c r="R301" s="1371"/>
      <c r="S301" s="3"/>
      <c r="T301" s="3" t="s">
        <v>76</v>
      </c>
      <c r="V301" s="3"/>
      <c r="W301" s="3"/>
      <c r="X301" s="3"/>
      <c r="Y301" s="3"/>
      <c r="AA301" s="1348" t="s">
        <v>2626</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2652</v>
      </c>
      <c r="I303" s="1371"/>
      <c r="J303" s="1371"/>
      <c r="K303" s="1371"/>
      <c r="L303" s="1371"/>
      <c r="M303" s="1371"/>
      <c r="N303" s="1371"/>
      <c r="O303" s="1371"/>
      <c r="P303" s="1371"/>
      <c r="Q303" s="1371"/>
      <c r="R303" s="1371"/>
      <c r="T303" s="4" t="s">
        <v>879</v>
      </c>
      <c r="V303" s="3"/>
      <c r="W303" s="3"/>
      <c r="X303" s="3"/>
      <c r="Y303" s="3"/>
      <c r="AA303" s="1371" t="s">
        <v>2658</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2653</v>
      </c>
      <c r="I304" s="1348"/>
      <c r="J304" s="1348"/>
      <c r="K304" s="1348"/>
      <c r="L304" s="1348"/>
      <c r="M304" s="1348"/>
      <c r="N304" s="1348"/>
      <c r="O304" s="1348"/>
      <c r="P304" s="1348"/>
      <c r="Q304" s="1348"/>
      <c r="R304" s="1348"/>
      <c r="T304" s="3" t="s">
        <v>472</v>
      </c>
      <c r="V304" s="3"/>
      <c r="W304" s="3"/>
      <c r="X304" s="3"/>
      <c r="Y304" s="3"/>
      <c r="AA304" s="1348" t="s">
        <v>2659</v>
      </c>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2654</v>
      </c>
      <c r="I305" s="1348"/>
      <c r="J305" s="1348"/>
      <c r="K305" s="1348"/>
      <c r="L305" s="1348"/>
      <c r="M305" s="1348"/>
      <c r="N305" s="1348"/>
      <c r="O305" s="1348"/>
      <c r="P305" s="1348"/>
      <c r="Q305" s="1348"/>
      <c r="R305" s="1348"/>
      <c r="T305" s="3" t="s">
        <v>75</v>
      </c>
      <c r="V305" s="3"/>
      <c r="W305" s="3"/>
      <c r="X305" s="3"/>
      <c r="Y305" s="3"/>
      <c r="AA305" s="1348" t="s">
        <v>2634</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2655</v>
      </c>
      <c r="I306" s="1348"/>
      <c r="J306" s="1348"/>
      <c r="K306" s="1348"/>
      <c r="L306" s="1348"/>
      <c r="M306" s="1348"/>
      <c r="N306" s="1348"/>
      <c r="O306" s="1348"/>
      <c r="P306" s="1348"/>
      <c r="Q306" s="1348"/>
      <c r="R306" s="1348"/>
      <c r="T306" s="3" t="s">
        <v>87</v>
      </c>
      <c r="V306" s="3"/>
      <c r="W306" s="3"/>
      <c r="X306" s="3"/>
      <c r="Y306" s="3"/>
      <c r="AA306" s="1348" t="s">
        <v>2660</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t="s">
        <v>2656</v>
      </c>
      <c r="I307" s="1423"/>
      <c r="J307" s="1423"/>
      <c r="K307" s="1423"/>
      <c r="L307" s="1423"/>
      <c r="M307" s="1423"/>
      <c r="N307" s="4" t="s">
        <v>206</v>
      </c>
      <c r="O307" s="4"/>
      <c r="P307" s="1417"/>
      <c r="Q307" s="1417"/>
      <c r="R307" s="1417"/>
      <c r="S307" s="3"/>
      <c r="T307" s="3" t="s">
        <v>88</v>
      </c>
      <c r="V307" s="3"/>
      <c r="W307" s="3"/>
      <c r="X307" s="3"/>
      <c r="Y307" s="3"/>
      <c r="AA307" s="1423" t="s">
        <v>2661</v>
      </c>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2657</v>
      </c>
      <c r="I309" s="1348"/>
      <c r="J309" s="1348"/>
      <c r="K309" s="1348"/>
      <c r="L309" s="1348"/>
      <c r="M309" s="1348"/>
      <c r="N309" s="1371"/>
      <c r="O309" s="1371"/>
      <c r="P309" s="1371"/>
      <c r="Q309" s="1371"/>
      <c r="R309" s="1371"/>
      <c r="S309" s="3"/>
      <c r="T309" s="3" t="s">
        <v>76</v>
      </c>
      <c r="V309" s="3"/>
      <c r="W309" s="3"/>
      <c r="X309" s="3"/>
      <c r="Y309" s="3"/>
      <c r="AA309" s="1348" t="s">
        <v>2662</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c r="I311" s="1371"/>
      <c r="J311" s="1371"/>
      <c r="K311" s="1371"/>
      <c r="L311" s="1371"/>
      <c r="M311" s="1371"/>
      <c r="N311" s="1371"/>
      <c r="O311" s="1371"/>
      <c r="P311" s="1371"/>
      <c r="Q311" s="1371"/>
      <c r="R311" s="1371"/>
      <c r="S311" s="3"/>
      <c r="T311" s="3" t="s">
        <v>365</v>
      </c>
      <c r="V311" s="3"/>
      <c r="W311" s="3"/>
      <c r="X311" s="3"/>
      <c r="Y311" s="3"/>
      <c r="AA311" s="1371" t="s">
        <v>2663</v>
      </c>
      <c r="AB311" s="1371"/>
      <c r="AC311" s="1371"/>
      <c r="AD311" s="1371"/>
      <c r="AE311" s="1371"/>
      <c r="AF311" s="1371"/>
      <c r="AG311" s="1371"/>
      <c r="AH311" s="1371"/>
      <c r="AI311" s="1371"/>
      <c r="AJ311" s="1371"/>
      <c r="AK311" s="1371"/>
    </row>
    <row r="312" spans="2:37" ht="12.95" customHeight="1">
      <c r="B312" s="3" t="s">
        <v>472</v>
      </c>
      <c r="C312" s="3"/>
      <c r="D312" s="3"/>
      <c r="E312" s="3"/>
      <c r="F312" s="3"/>
      <c r="H312" s="1348"/>
      <c r="I312" s="1348"/>
      <c r="J312" s="1348"/>
      <c r="K312" s="1348"/>
      <c r="L312" s="1348"/>
      <c r="M312" s="1348"/>
      <c r="N312" s="1348"/>
      <c r="O312" s="1348"/>
      <c r="P312" s="1348"/>
      <c r="Q312" s="1348"/>
      <c r="R312" s="1348"/>
      <c r="S312" s="3"/>
      <c r="T312" s="3" t="s">
        <v>472</v>
      </c>
      <c r="V312" s="3"/>
      <c r="W312" s="3"/>
      <c r="X312" s="3"/>
      <c r="Y312" s="3"/>
      <c r="AA312" s="1348" t="s">
        <v>2664</v>
      </c>
      <c r="AB312" s="1348"/>
      <c r="AC312" s="1348"/>
      <c r="AD312" s="1348"/>
      <c r="AE312" s="1348"/>
      <c r="AF312" s="1348"/>
      <c r="AG312" s="1348"/>
      <c r="AH312" s="1348"/>
      <c r="AI312" s="1348"/>
      <c r="AJ312" s="1348"/>
      <c r="AK312" s="1348"/>
    </row>
    <row r="313" spans="2:37" ht="12.95" customHeight="1">
      <c r="B313" s="3" t="s">
        <v>473</v>
      </c>
      <c r="C313" s="3"/>
      <c r="D313" s="3"/>
      <c r="E313" s="3"/>
      <c r="F313" s="3"/>
      <c r="H313" s="1348"/>
      <c r="I313" s="1348"/>
      <c r="J313" s="1348"/>
      <c r="K313" s="1348"/>
      <c r="L313" s="1348"/>
      <c r="M313" s="1348"/>
      <c r="N313" s="1348"/>
      <c r="O313" s="1348"/>
      <c r="P313" s="1348"/>
      <c r="Q313" s="1348"/>
      <c r="R313" s="1348"/>
      <c r="S313" s="3"/>
      <c r="T313" s="3" t="s">
        <v>75</v>
      </c>
      <c r="V313" s="3"/>
      <c r="W313" s="3"/>
      <c r="X313" s="3"/>
      <c r="Y313" s="3"/>
      <c r="AA313" s="1348" t="s">
        <v>2665</v>
      </c>
      <c r="AB313" s="1348"/>
      <c r="AC313" s="1348"/>
      <c r="AD313" s="1348"/>
      <c r="AE313" s="1348"/>
      <c r="AF313" s="1348"/>
      <c r="AG313" s="1348"/>
      <c r="AH313" s="1348"/>
      <c r="AI313" s="1348"/>
      <c r="AJ313" s="1348"/>
      <c r="AK313" s="1348"/>
    </row>
    <row r="314" spans="2:37" ht="12.95" customHeight="1">
      <c r="B314" s="3" t="s">
        <v>87</v>
      </c>
      <c r="C314" s="3"/>
      <c r="D314" s="3"/>
      <c r="E314" s="3"/>
      <c r="F314" s="3"/>
      <c r="H314" s="1348"/>
      <c r="I314" s="1348"/>
      <c r="J314" s="1348"/>
      <c r="K314" s="1348"/>
      <c r="L314" s="1348"/>
      <c r="M314" s="1348"/>
      <c r="N314" s="1348"/>
      <c r="O314" s="1348"/>
      <c r="P314" s="1348"/>
      <c r="Q314" s="1348"/>
      <c r="R314" s="1348"/>
      <c r="S314" s="3"/>
      <c r="T314" s="3" t="s">
        <v>87</v>
      </c>
      <c r="V314" s="3"/>
      <c r="W314" s="3"/>
      <c r="X314" s="3"/>
      <c r="Y314" s="3"/>
      <c r="AA314" s="1348" t="s">
        <v>2666</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c r="I315" s="1423"/>
      <c r="J315" s="1423"/>
      <c r="K315" s="1423"/>
      <c r="L315" s="1423"/>
      <c r="M315" s="1423"/>
      <c r="N315" s="4" t="s">
        <v>206</v>
      </c>
      <c r="O315" s="4"/>
      <c r="P315" s="1417"/>
      <c r="Q315" s="1417"/>
      <c r="R315" s="1417"/>
      <c r="S315" s="3"/>
      <c r="T315" s="3" t="s">
        <v>88</v>
      </c>
      <c r="V315" s="3"/>
      <c r="W315" s="3"/>
      <c r="X315" s="3"/>
      <c r="Y315" s="3"/>
      <c r="AA315" s="1423" t="s">
        <v>2667</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c r="I317" s="1348"/>
      <c r="J317" s="1348"/>
      <c r="K317" s="1348"/>
      <c r="L317" s="1348"/>
      <c r="M317" s="1348"/>
      <c r="N317" s="1371"/>
      <c r="O317" s="1371"/>
      <c r="P317" s="1371"/>
      <c r="Q317" s="1371"/>
      <c r="R317" s="1371"/>
      <c r="S317" s="3"/>
      <c r="T317" s="3" t="s">
        <v>76</v>
      </c>
      <c r="V317" s="3"/>
      <c r="W317" s="3"/>
      <c r="X317" s="3"/>
      <c r="Y317" s="3"/>
      <c r="AA317" s="1348" t="s">
        <v>2668</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2669</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2670</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2671</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2672</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t="s">
        <v>2673</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t="s">
        <v>2674</v>
      </c>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2675</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6" t="s">
        <v>2700</v>
      </c>
      <c r="I335" s="1371"/>
      <c r="J335" s="1371"/>
      <c r="K335" s="1371"/>
      <c r="L335" s="1371"/>
      <c r="M335" s="1371"/>
      <c r="N335" s="1371"/>
      <c r="O335" s="1371"/>
      <c r="P335" s="1371"/>
      <c r="Q335" s="1371"/>
      <c r="R335" s="1371"/>
      <c r="T335" s="204" t="s">
        <v>887</v>
      </c>
      <c r="V335" s="3"/>
      <c r="W335" s="3"/>
      <c r="X335" s="3"/>
      <c r="Y335" s="3"/>
      <c r="AA335" s="1371" t="s">
        <v>2676</v>
      </c>
      <c r="AB335" s="1371"/>
      <c r="AC335" s="1371"/>
      <c r="AD335" s="1371"/>
      <c r="AE335" s="1371"/>
      <c r="AF335" s="1371"/>
      <c r="AG335" s="1371"/>
      <c r="AH335" s="1371"/>
      <c r="AI335" s="1371"/>
      <c r="AJ335" s="1371"/>
      <c r="AK335" s="1371"/>
    </row>
    <row r="336" spans="2:37" ht="12.95" customHeight="1">
      <c r="B336" s="3" t="s">
        <v>472</v>
      </c>
      <c r="C336" s="3"/>
      <c r="D336" s="3"/>
      <c r="E336" s="3"/>
      <c r="F336" s="3"/>
      <c r="H336" s="1545" t="s">
        <v>2701</v>
      </c>
      <c r="I336" s="1348"/>
      <c r="J336" s="1348"/>
      <c r="K336" s="1348"/>
      <c r="L336" s="1348"/>
      <c r="M336" s="1348"/>
      <c r="N336" s="1348"/>
      <c r="O336" s="1348"/>
      <c r="P336" s="1348"/>
      <c r="Q336" s="1348"/>
      <c r="R336" s="1348"/>
      <c r="T336" s="3" t="s">
        <v>472</v>
      </c>
      <c r="V336" s="3"/>
      <c r="W336" s="3"/>
      <c r="X336" s="3"/>
      <c r="Y336" s="3"/>
      <c r="AA336" s="1348" t="s">
        <v>2633</v>
      </c>
      <c r="AB336" s="1348"/>
      <c r="AC336" s="1348"/>
      <c r="AD336" s="1348"/>
      <c r="AE336" s="1348"/>
      <c r="AF336" s="1348"/>
      <c r="AG336" s="1348"/>
      <c r="AH336" s="1348"/>
      <c r="AI336" s="1348"/>
      <c r="AJ336" s="1348"/>
      <c r="AK336" s="1348"/>
    </row>
    <row r="337" spans="1:66" ht="12.95" customHeight="1">
      <c r="B337" s="3" t="s">
        <v>75</v>
      </c>
      <c r="C337" s="3"/>
      <c r="D337" s="3"/>
      <c r="E337" s="3"/>
      <c r="F337" s="3"/>
      <c r="H337" s="1545" t="s">
        <v>2702</v>
      </c>
      <c r="I337" s="1348"/>
      <c r="J337" s="1348"/>
      <c r="K337" s="1348"/>
      <c r="L337" s="1348"/>
      <c r="M337" s="1348"/>
      <c r="N337" s="1348"/>
      <c r="O337" s="1348"/>
      <c r="P337" s="1348"/>
      <c r="Q337" s="1348"/>
      <c r="R337" s="1348"/>
      <c r="T337" s="3" t="s">
        <v>75</v>
      </c>
      <c r="V337" s="3"/>
      <c r="W337" s="3"/>
      <c r="X337" s="3"/>
      <c r="Y337" s="3"/>
      <c r="AA337" s="1348" t="s">
        <v>2634</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545" t="s">
        <v>2703</v>
      </c>
      <c r="I338" s="1348"/>
      <c r="J338" s="1348"/>
      <c r="K338" s="1348"/>
      <c r="L338" s="1348"/>
      <c r="M338" s="1348"/>
      <c r="N338" s="1348"/>
      <c r="O338" s="1348"/>
      <c r="P338" s="1348"/>
      <c r="Q338" s="1348"/>
      <c r="R338" s="1348"/>
      <c r="T338" s="3" t="s">
        <v>87</v>
      </c>
      <c r="V338" s="3"/>
      <c r="W338" s="3"/>
      <c r="X338" s="3"/>
      <c r="Y338" s="3"/>
      <c r="AA338" s="1348" t="s">
        <v>2677</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v>7609301333</v>
      </c>
      <c r="I339" s="1423"/>
      <c r="J339" s="1423"/>
      <c r="K339" s="1423"/>
      <c r="L339" s="1423"/>
      <c r="M339" s="1423"/>
      <c r="N339" s="4" t="s">
        <v>206</v>
      </c>
      <c r="O339" s="4"/>
      <c r="P339" s="1417"/>
      <c r="Q339" s="1417"/>
      <c r="R339" s="1417"/>
      <c r="S339" s="3"/>
      <c r="T339" s="3" t="s">
        <v>88</v>
      </c>
      <c r="V339" s="3"/>
      <c r="W339" s="3"/>
      <c r="X339" s="3"/>
      <c r="Y339" s="3"/>
      <c r="AA339" s="1423" t="s">
        <v>2678</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v>7606833390</v>
      </c>
      <c r="I340" s="1346"/>
      <c r="J340" s="1346"/>
      <c r="K340" s="1346"/>
      <c r="L340" s="1346"/>
      <c r="M340" s="1346"/>
      <c r="N340" s="4"/>
      <c r="O340" s="4"/>
      <c r="P340" s="35"/>
      <c r="Q340" s="35"/>
      <c r="R340" s="35"/>
      <c r="S340" s="3"/>
      <c r="T340" s="3" t="s">
        <v>89</v>
      </c>
      <c r="V340" s="3"/>
      <c r="W340" s="3"/>
      <c r="X340" s="3"/>
      <c r="Y340" s="3"/>
      <c r="AA340" s="1346" t="s">
        <v>2679</v>
      </c>
      <c r="AB340" s="1346"/>
      <c r="AC340" s="1346"/>
      <c r="AD340" s="1346"/>
      <c r="AE340" s="1346"/>
      <c r="AF340" s="1346"/>
      <c r="AG340" s="4"/>
      <c r="AH340" s="4"/>
      <c r="AI340" s="35"/>
      <c r="AJ340" s="35"/>
      <c r="AK340" s="35"/>
    </row>
    <row r="341" spans="1:66" ht="12.95" customHeight="1">
      <c r="B341" s="3" t="s">
        <v>76</v>
      </c>
      <c r="C341" s="3"/>
      <c r="D341" s="3"/>
      <c r="E341" s="3"/>
      <c r="F341" s="3"/>
      <c r="G341" s="3"/>
      <c r="H341" s="1545" t="s">
        <v>2704</v>
      </c>
      <c r="I341" s="1348"/>
      <c r="J341" s="1348"/>
      <c r="K341" s="1348"/>
      <c r="L341" s="1348"/>
      <c r="M341" s="1348"/>
      <c r="N341" s="1371"/>
      <c r="O341" s="1371"/>
      <c r="P341" s="1371"/>
      <c r="Q341" s="1371"/>
      <c r="R341" s="1371"/>
      <c r="S341" s="3"/>
      <c r="T341" s="3" t="s">
        <v>76</v>
      </c>
      <c r="V341" s="3"/>
      <c r="W341" s="3"/>
      <c r="X341" s="3"/>
      <c r="Y341" s="3"/>
      <c r="AA341" s="1348" t="s">
        <v>2680</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592</v>
      </c>
      <c r="AK355" s="1332"/>
    </row>
    <row r="356" spans="1:46" ht="12.95" customHeight="1">
      <c r="D356" s="3" t="s">
        <v>1640</v>
      </c>
      <c r="M356" s="1332" t="s">
        <v>592</v>
      </c>
      <c r="N356" s="1332"/>
      <c r="P356" s="3" t="s">
        <v>1720</v>
      </c>
      <c r="AJ356" s="1446"/>
      <c r="AK356" s="1446"/>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5"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3"/>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5"/>
      <c r="T377" s="1815"/>
      <c r="U377" s="1" t="s">
        <v>306</v>
      </c>
      <c r="V377" s="1815"/>
      <c r="W377" s="1815"/>
      <c r="Y377" t="s">
        <v>2081</v>
      </c>
      <c r="AC377" s="27" t="s">
        <v>305</v>
      </c>
      <c r="AD377" s="1815"/>
      <c r="AE377" s="1815"/>
      <c r="AF377" s="1" t="s">
        <v>306</v>
      </c>
      <c r="AG377" s="1815"/>
      <c r="AH377" s="1815"/>
    </row>
    <row r="378" spans="1:34" ht="12.95" customHeight="1">
      <c r="E378" s="4" t="s">
        <v>988</v>
      </c>
      <c r="F378" s="4"/>
      <c r="G378" s="4"/>
      <c r="H378" s="4"/>
      <c r="I378" s="4"/>
      <c r="J378" s="4"/>
      <c r="K378" s="4"/>
      <c r="L378" s="4"/>
      <c r="N378" s="1815"/>
      <c r="O378" s="1815"/>
      <c r="P378" s="1815"/>
    </row>
    <row r="379" spans="1:34" ht="12.95" customHeight="1">
      <c r="E379" s="204" t="s">
        <v>2087</v>
      </c>
      <c r="F379" s="4"/>
      <c r="G379" s="4"/>
      <c r="H379" s="4"/>
      <c r="I379" s="4"/>
      <c r="J379" s="4"/>
      <c r="K379" s="4"/>
      <c r="L379" s="4"/>
      <c r="AG379" s="1804" t="s">
        <v>592</v>
      </c>
      <c r="AH379" s="1804"/>
    </row>
    <row r="380" spans="1:34" ht="12.95" customHeight="1">
      <c r="E380" s="4"/>
      <c r="F380" s="4"/>
      <c r="G380" s="4" t="s">
        <v>2088</v>
      </c>
      <c r="H380" s="4"/>
      <c r="I380" s="4"/>
      <c r="J380" s="4"/>
      <c r="K380" s="4"/>
      <c r="L380" s="4"/>
      <c r="AG380" s="1804" t="s">
        <v>592</v>
      </c>
      <c r="AH380" s="1804"/>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2681</v>
      </c>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5" customHeight="1">
      <c r="D386" s="3" t="s">
        <v>1183</v>
      </c>
      <c r="J386" s="1348"/>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348"/>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402"/>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c r="R389" s="1751"/>
      <c r="S389" s="1751"/>
      <c r="T389" s="1751"/>
      <c r="U389" s="1751"/>
      <c r="V389" t="s">
        <v>309</v>
      </c>
      <c r="AI389" s="1332" t="s">
        <v>670</v>
      </c>
      <c r="AJ389" s="1332"/>
    </row>
    <row r="390" spans="4:36" ht="12.95" customHeight="1">
      <c r="D390" t="s">
        <v>5</v>
      </c>
      <c r="Q390" s="1533"/>
      <c r="R390" s="1819"/>
      <c r="S390" s="1819"/>
      <c r="T390" s="1819"/>
      <c r="U390" s="1819"/>
      <c r="W390" s="21" t="s">
        <v>74</v>
      </c>
      <c r="AG390" s="1817"/>
      <c r="AH390" s="1817"/>
      <c r="AI390" s="1817"/>
      <c r="AJ390" s="1817"/>
    </row>
    <row r="391" spans="4:36" ht="12.95" customHeight="1">
      <c r="D391" t="s">
        <v>427</v>
      </c>
      <c r="Q391" s="1828">
        <v>3425000</v>
      </c>
      <c r="R391" s="1828"/>
      <c r="S391" s="1828"/>
      <c r="T391" s="1828"/>
      <c r="U391" s="1828"/>
      <c r="V391" s="3" t="s">
        <v>1182</v>
      </c>
      <c r="AG391" s="1818"/>
      <c r="AH391" s="1818"/>
      <c r="AI391" s="1818"/>
      <c r="AJ391" s="1818"/>
    </row>
    <row r="392" spans="4:36" ht="12.95" customHeight="1">
      <c r="D392" t="s">
        <v>88</v>
      </c>
      <c r="I392" s="1423"/>
      <c r="J392" s="1423"/>
      <c r="K392" s="1423"/>
      <c r="L392" s="1423"/>
      <c r="M392" s="1423"/>
      <c r="N392" s="1423"/>
      <c r="Q392" s="4" t="s">
        <v>206</v>
      </c>
      <c r="S392" s="1827"/>
      <c r="T392" s="1827"/>
      <c r="U392" s="1827"/>
      <c r="V392" t="s">
        <v>73</v>
      </c>
      <c r="AI392" s="1332" t="s">
        <v>670</v>
      </c>
      <c r="AJ392" s="1332"/>
    </row>
    <row r="393" spans="4:36" ht="12.95" customHeight="1">
      <c r="D393" t="s">
        <v>310</v>
      </c>
      <c r="Q393" s="1408"/>
      <c r="R393" s="1408"/>
      <c r="S393" s="1408"/>
      <c r="T393" s="1408"/>
      <c r="U393" s="1408"/>
      <c r="V393" t="s">
        <v>311</v>
      </c>
      <c r="AG393" s="1817"/>
      <c r="AH393" s="1817"/>
      <c r="AI393" s="1817"/>
      <c r="AJ393" s="1817"/>
    </row>
    <row r="394" spans="4:36" ht="12.95" customHeight="1">
      <c r="D394" t="s">
        <v>312</v>
      </c>
      <c r="Q394" s="1755"/>
      <c r="R394" s="1755"/>
      <c r="S394" s="1755"/>
      <c r="T394" s="1755"/>
      <c r="U394" s="1755"/>
      <c r="V394" t="s">
        <v>1164</v>
      </c>
      <c r="AG394" s="1817"/>
      <c r="AH394" s="1817"/>
      <c r="AI394" s="1817"/>
      <c r="AJ394" s="1817"/>
    </row>
    <row r="395" spans="4:36" ht="12.95" customHeight="1">
      <c r="D395" t="s">
        <v>1163</v>
      </c>
      <c r="AG395" s="1817"/>
      <c r="AH395" s="1817"/>
      <c r="AI395" s="1817"/>
      <c r="AJ395" s="1817"/>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1661</v>
      </c>
      <c r="S401" s="1750" t="s">
        <v>670</v>
      </c>
      <c r="T401" s="1750"/>
      <c r="U401" s="1750"/>
      <c r="V401" t="s">
        <v>1662</v>
      </c>
      <c r="AG401" s="1821"/>
      <c r="AH401" s="1821"/>
      <c r="AI401" s="1821"/>
      <c r="AJ401" s="1821"/>
    </row>
    <row r="402" spans="1:36" ht="12.95" customHeight="1">
      <c r="D402" s="3" t="s">
        <v>1659</v>
      </c>
      <c r="S402" s="1750" t="s">
        <v>592</v>
      </c>
      <c r="T402" s="1750"/>
      <c r="U402" s="1750"/>
      <c r="V402" t="s">
        <v>1664</v>
      </c>
      <c r="AE402" s="1816"/>
      <c r="AF402" s="1816"/>
      <c r="AG402" s="1816"/>
      <c r="AH402" s="1816"/>
      <c r="AI402" s="1816"/>
      <c r="AJ402" s="1816"/>
    </row>
    <row r="403" spans="1:36" ht="12.95" customHeight="1">
      <c r="D403" s="3" t="s">
        <v>1660</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1663</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1666</v>
      </c>
      <c r="E405" s="477"/>
      <c r="F405" s="477"/>
      <c r="G405" s="477"/>
      <c r="H405" s="477"/>
      <c r="I405" s="477"/>
      <c r="J405" s="477"/>
      <c r="K405" s="477"/>
      <c r="L405" s="477"/>
      <c r="M405" s="477"/>
      <c r="N405" s="477"/>
      <c r="O405" s="477"/>
      <c r="P405" s="477"/>
      <c r="Q405" s="477"/>
      <c r="R405" s="477"/>
      <c r="S405" s="1826" t="s">
        <v>1185</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2682</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592</v>
      </c>
      <c r="S411" s="1332"/>
      <c r="AC411" s="27" t="s">
        <v>571</v>
      </c>
      <c r="AD411" s="1663"/>
      <c r="AE411" s="1663"/>
    </row>
    <row r="412" spans="1:36" ht="12.95" customHeight="1">
      <c r="E412" t="s">
        <v>107</v>
      </c>
      <c r="R412" s="1332" t="s">
        <v>592</v>
      </c>
      <c r="S412" s="1332"/>
      <c r="AC412" s="27" t="s">
        <v>571</v>
      </c>
      <c r="AD412" s="1663"/>
      <c r="AE412" s="1663"/>
    </row>
    <row r="413" spans="1:36" ht="12.95" customHeight="1">
      <c r="E413" t="s">
        <v>108</v>
      </c>
      <c r="S413" s="1332" t="s">
        <v>592</v>
      </c>
      <c r="T413" s="1332"/>
    </row>
    <row r="414" spans="1:36" ht="12.95" customHeight="1">
      <c r="E414" t="s">
        <v>170</v>
      </c>
      <c r="H414" s="1756" t="s">
        <v>2683</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815"/>
      <c r="F418" s="1815"/>
      <c r="G418" s="1815"/>
      <c r="H418" s="13" t="s">
        <v>115</v>
      </c>
      <c r="I418" s="1815"/>
      <c r="J418" s="1815"/>
      <c r="K418" s="1815"/>
      <c r="L418" t="s">
        <v>116</v>
      </c>
      <c r="N418" s="27" t="s">
        <v>576</v>
      </c>
      <c r="P418" s="1759">
        <v>5.21</v>
      </c>
      <c r="Q418" s="1759"/>
      <c r="R418" s="1759"/>
      <c r="S418" t="s">
        <v>117</v>
      </c>
      <c r="W418" s="1825">
        <f>IF(E418&gt;0,(E418*I418),(P418*43560))</f>
        <v>226947.6</v>
      </c>
      <c r="X418" s="1825"/>
      <c r="Y418" s="1825"/>
      <c r="Z418" t="s">
        <v>118</v>
      </c>
      <c r="AF418" s="1760">
        <f>IFERROR(IF(P418&gt;0,(AG437/P418),(AG437/(W418/43560))),0)</f>
        <v>4.0307101727447217</v>
      </c>
      <c r="AG418" s="1760"/>
      <c r="AH418" s="1760"/>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1737</v>
      </c>
      <c r="F421" s="1013"/>
      <c r="G421" s="1013"/>
      <c r="H421" s="1013"/>
      <c r="I421" s="1758">
        <v>5.2</v>
      </c>
      <c r="J421" s="1758"/>
      <c r="K421" s="1758"/>
      <c r="L421" s="1013"/>
      <c r="M421" s="118"/>
      <c r="N421" s="1013"/>
      <c r="O421" s="1013"/>
      <c r="P421" s="1440">
        <f>(DU755+DU778+DU800)/I421</f>
        <v>4.8076923076923075</v>
      </c>
      <c r="Q421" s="1440"/>
      <c r="R421" s="1440"/>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22</v>
      </c>
      <c r="Q424" s="1332"/>
      <c r="S424" t="s">
        <v>189</v>
      </c>
      <c r="AE424" s="1332">
        <v>21</v>
      </c>
      <c r="AF424" s="1332"/>
    </row>
    <row r="425" spans="1:39" ht="12.95" customHeight="1">
      <c r="E425" t="s">
        <v>190</v>
      </c>
      <c r="P425" s="1332">
        <v>1</v>
      </c>
      <c r="Q425" s="1332"/>
      <c r="S425" t="s">
        <v>131</v>
      </c>
      <c r="AE425" s="1332" t="s">
        <v>592</v>
      </c>
      <c r="AF425" s="1332"/>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609</v>
      </c>
      <c r="P429" s="1"/>
      <c r="Q429" s="1332" t="s">
        <v>546</v>
      </c>
      <c r="R429" s="1332"/>
    </row>
    <row r="430" spans="1:39" ht="12.95" customHeight="1">
      <c r="F430" t="s">
        <v>610</v>
      </c>
      <c r="P430" s="1"/>
      <c r="Q430" s="1"/>
      <c r="AF430" s="1332" t="s">
        <v>592</v>
      </c>
      <c r="AG430" s="1823"/>
    </row>
    <row r="431" spans="1:39" ht="12.95" customHeight="1"/>
    <row r="432" spans="1:39" ht="12.95" customHeight="1">
      <c r="A432" s="2"/>
      <c r="B432" s="2"/>
      <c r="C432" s="2"/>
      <c r="E432" s="4" t="s">
        <v>308</v>
      </c>
      <c r="Z432" s="1332" t="s">
        <v>546</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670</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0">
        <v>21</v>
      </c>
      <c r="AH437" s="1820"/>
      <c r="AI437" s="1820"/>
      <c r="AJ437" s="1820"/>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4">
        <v>0</v>
      </c>
      <c r="AH438" s="1613"/>
      <c r="AI438" s="1613"/>
      <c r="AJ438" s="1613"/>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0">
        <v>20</v>
      </c>
      <c r="AH439" s="1820"/>
      <c r="AI439" s="1820"/>
      <c r="AJ439" s="1820"/>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0">
        <v>20</v>
      </c>
      <c r="AH440" s="1820"/>
      <c r="AI440" s="1820"/>
      <c r="AJ440" s="1820"/>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6">
        <f>IF(ISERROR(AG440/AG439),0,AG440/AG439)</f>
        <v>1</v>
      </c>
      <c r="AH441" s="1806"/>
      <c r="AI441" s="1806"/>
      <c r="AJ441" s="1806"/>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10926</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10926</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6">
        <f>IF(ISERROR(AG443/AG442),0,AG443/AG442)</f>
        <v>1</v>
      </c>
      <c r="AH444" s="1806"/>
      <c r="AI444" s="1806"/>
      <c r="AJ444" s="1806"/>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6">
        <f>MIN(IF(AG441&gt;AG444,AG444,AG441),1)</f>
        <v>1</v>
      </c>
      <c r="AH445" s="1806"/>
      <c r="AI445" s="1806"/>
      <c r="AJ445" s="1806"/>
    </row>
    <row r="446" spans="1:55" ht="12.95" customHeight="1">
      <c r="D446" s="1742"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240</v>
      </c>
      <c r="AH446" s="1695"/>
      <c r="AI446" s="1695"/>
      <c r="AJ446" s="1695"/>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2.95" customHeight="1">
      <c r="D448" s="1742"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f>240+522</f>
        <v>762</v>
      </c>
      <c r="AH448" s="1695"/>
      <c r="AI448" s="1695"/>
      <c r="AJ448" s="1695"/>
      <c r="AZ448" s="3"/>
      <c r="BA448" s="3"/>
      <c r="BB448" s="3"/>
      <c r="BC448" s="3"/>
    </row>
    <row r="449" spans="1:55" ht="12.95" customHeight="1">
      <c r="D449" s="1742"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11928</v>
      </c>
      <c r="AH450" s="1844"/>
      <c r="AI450" s="1844"/>
      <c r="AJ450" s="1844"/>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914964.38095238095</v>
      </c>
      <c r="AD454" s="1812"/>
      <c r="AE454" s="1812"/>
      <c r="AF454" s="1812"/>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914964.38095238095</v>
      </c>
      <c r="AD455" s="1812"/>
      <c r="AE455" s="1812"/>
      <c r="AF455" s="1812"/>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719818.80952380947</v>
      </c>
      <c r="AD456" s="1812"/>
      <c r="AE456" s="1812"/>
      <c r="AF456" s="1812"/>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2101</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2192</v>
      </c>
      <c r="E472" s="1848"/>
      <c r="F472" s="1848"/>
      <c r="G472" s="1848"/>
      <c r="H472" s="1848"/>
      <c r="I472" s="1848"/>
      <c r="J472" s="1848"/>
      <c r="K472" s="1848"/>
      <c r="L472" s="1848"/>
      <c r="M472" s="1848"/>
      <c r="N472" s="1848"/>
      <c r="O472" s="1848"/>
      <c r="P472" s="1848"/>
      <c r="Q472" s="1848"/>
      <c r="R472" s="1848"/>
      <c r="S472" s="1848"/>
      <c r="T472" s="1848"/>
      <c r="U472" s="1848"/>
      <c r="V472" s="1849"/>
      <c r="W472" s="1665">
        <v>20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44" t="s">
        <v>592</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44" t="s">
        <v>592</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44" t="s">
        <v>592</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5"/>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6">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6">
        <v>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1670</v>
      </c>
      <c r="C495" s="5"/>
      <c r="D495" s="5"/>
      <c r="E495" s="5"/>
      <c r="F495" s="5"/>
      <c r="G495" s="5"/>
      <c r="H495" s="5"/>
      <c r="I495" s="5"/>
      <c r="J495" s="5"/>
      <c r="K495" s="5"/>
      <c r="L495" s="5"/>
      <c r="M495" s="1445"/>
      <c r="N495" s="1446"/>
      <c r="O495" s="1446"/>
      <c r="P495" s="1447"/>
      <c r="Q495" s="121" t="s">
        <v>1671</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2" t="s">
        <v>592</v>
      </c>
      <c r="AD501" s="1663"/>
      <c r="AE501" s="1663"/>
      <c r="AF501" s="1663"/>
      <c r="AG501" s="13" t="s">
        <v>403</v>
      </c>
      <c r="AH501" s="1402">
        <v>0</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3"/>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2">
        <v>2</v>
      </c>
      <c r="AD502" s="1663"/>
      <c r="AE502" s="1663"/>
      <c r="AF502" s="1663"/>
      <c r="AG502" s="38" t="s">
        <v>403</v>
      </c>
      <c r="AH502" s="1402">
        <v>2022</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2"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3"/>
      <c r="C504" s="1432"/>
      <c r="D504" s="1432"/>
      <c r="E504" s="1432"/>
      <c r="F504" s="1432"/>
      <c r="G504" s="1432"/>
      <c r="H504" s="1433"/>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3"/>
      <c r="C505" s="1432"/>
      <c r="D505" s="1432"/>
      <c r="E505" s="1432"/>
      <c r="F505" s="1432"/>
      <c r="G505" s="1432"/>
      <c r="H505" s="1433"/>
      <c r="I505" t="s">
        <v>411</v>
      </c>
      <c r="AC505" s="1662" t="s">
        <v>592</v>
      </c>
      <c r="AD505" s="1663"/>
      <c r="AE505" s="1663"/>
      <c r="AF505" s="1663"/>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3"/>
      <c r="C506" s="1432"/>
      <c r="D506" s="1432"/>
      <c r="E506" s="1432"/>
      <c r="F506" s="1432"/>
      <c r="G506" s="1432"/>
      <c r="H506" s="1433"/>
      <c r="I506" t="s">
        <v>412</v>
      </c>
      <c r="AC506" s="1662" t="s">
        <v>592</v>
      </c>
      <c r="AD506" s="1663"/>
      <c r="AE506" s="1663"/>
      <c r="AF506" s="1663"/>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3"/>
      <c r="C507" s="1432"/>
      <c r="D507" s="1432"/>
      <c r="E507" s="1432"/>
      <c r="F507" s="1432"/>
      <c r="G507" s="1432"/>
      <c r="H507" s="1433"/>
      <c r="I507" s="3" t="s">
        <v>413</v>
      </c>
      <c r="AC507" s="1337" t="s">
        <v>592</v>
      </c>
      <c r="AD507" s="1338"/>
      <c r="AE507" s="1338"/>
      <c r="AF507" s="1338"/>
      <c r="AG507" s="13" t="s">
        <v>403</v>
      </c>
      <c r="AH507" s="1402"/>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3"/>
      <c r="C508" s="1432"/>
      <c r="D508" s="1432"/>
      <c r="E508" s="1432"/>
      <c r="F508" s="1432"/>
      <c r="G508" s="1432"/>
      <c r="H508" s="1433"/>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3"/>
      <c r="AC508" s="1662" t="s">
        <v>592</v>
      </c>
      <c r="AD508" s="1663"/>
      <c r="AE508" s="1663"/>
      <c r="AF508" s="1663"/>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0" t="s">
        <v>546</v>
      </c>
      <c r="AD509" s="1820"/>
      <c r="AE509" s="1820"/>
      <c r="AF509" s="1820"/>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9">
        <v>1</v>
      </c>
      <c r="AD512" s="1830"/>
      <c r="AE512" s="1830"/>
      <c r="AF512" s="1831"/>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2"/>
      <c r="AZ513" s="3"/>
      <c r="BA513" s="3"/>
      <c r="BB513" s="3"/>
      <c r="BC513" s="3"/>
      <c r="BD513" s="3"/>
      <c r="BE513" s="3"/>
      <c r="BF513" s="3"/>
      <c r="BG513" s="3"/>
      <c r="BH513" s="3"/>
      <c r="BI513" s="3"/>
      <c r="BJ513" s="3"/>
      <c r="BK513" s="3"/>
      <c r="BL513" s="3"/>
      <c r="BM513" s="3"/>
      <c r="BN513" s="3" t="s">
        <v>2106</v>
      </c>
    </row>
    <row r="514" spans="2:66" ht="12.95" customHeight="1">
      <c r="B514" s="1672"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2">
        <v>5</v>
      </c>
      <c r="AD514" s="1663"/>
      <c r="AE514" s="1663"/>
      <c r="AF514" s="1663"/>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2107</v>
      </c>
    </row>
    <row r="515" spans="2:66" ht="12.95" customHeight="1">
      <c r="B515" s="1673"/>
      <c r="C515" s="1432"/>
      <c r="D515" s="1432"/>
      <c r="E515" s="1432"/>
      <c r="F515" s="1432"/>
      <c r="G515" s="1432"/>
      <c r="H515" s="1433"/>
      <c r="I515" t="s">
        <v>416</v>
      </c>
      <c r="AC515" s="1662">
        <v>5</v>
      </c>
      <c r="AD515" s="1663"/>
      <c r="AE515" s="1663"/>
      <c r="AF515" s="1663"/>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2108</v>
      </c>
    </row>
    <row r="516" spans="2:66" ht="12.95" customHeight="1">
      <c r="B516" s="1673"/>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2">
        <v>1</v>
      </c>
      <c r="AD516" s="1663"/>
      <c r="AE516" s="1663"/>
      <c r="AF516" s="1663"/>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2109</v>
      </c>
    </row>
    <row r="517" spans="2:66" ht="12.95" customHeight="1">
      <c r="B517" s="1672"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2110</v>
      </c>
    </row>
    <row r="518" spans="2:66" ht="12.95" customHeight="1">
      <c r="B518" s="1673"/>
      <c r="C518" s="1432"/>
      <c r="D518" s="1432"/>
      <c r="E518" s="1432"/>
      <c r="F518" s="1432"/>
      <c r="G518" s="1432"/>
      <c r="H518" s="1433"/>
      <c r="I518" t="s">
        <v>416</v>
      </c>
      <c r="AC518" s="1662">
        <v>5</v>
      </c>
      <c r="AD518" s="1663"/>
      <c r="AE518" s="1663"/>
      <c r="AF518" s="1663"/>
      <c r="AG518" s="13" t="s">
        <v>403</v>
      </c>
      <c r="AH518" s="1402">
        <v>2025</v>
      </c>
      <c r="AI518" s="1402"/>
      <c r="AJ518" s="1402"/>
      <c r="AK518" s="1403"/>
      <c r="BB518" s="3"/>
      <c r="BC518" s="3"/>
      <c r="BD518" s="3"/>
      <c r="BE518" s="3"/>
      <c r="BF518" s="3"/>
      <c r="BG518" s="3"/>
      <c r="BH518" s="3"/>
      <c r="BI518" s="3"/>
      <c r="BJ518" s="3"/>
      <c r="BK518" s="3"/>
      <c r="BL518" s="3"/>
      <c r="BM518" s="3"/>
      <c r="BN518" s="3" t="s">
        <v>2111</v>
      </c>
    </row>
    <row r="519" spans="2:66" ht="12.95" customHeight="1">
      <c r="B519" s="1674"/>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2">
        <v>1</v>
      </c>
      <c r="AD519" s="1663"/>
      <c r="AE519" s="1663"/>
      <c r="AF519" s="1663"/>
      <c r="AG519" s="38" t="s">
        <v>403</v>
      </c>
      <c r="AH519" s="1402">
        <v>2026</v>
      </c>
      <c r="AI519" s="1402"/>
      <c r="AJ519" s="1402"/>
      <c r="AK519" s="1403"/>
      <c r="BB519" s="3"/>
      <c r="BC519" s="3"/>
      <c r="BD519" s="3"/>
      <c r="BE519" s="3"/>
      <c r="BF519" s="3"/>
      <c r="BG519" s="3"/>
      <c r="BH519" s="3"/>
      <c r="BI519" s="3"/>
      <c r="BJ519" s="3"/>
      <c r="BK519" s="3"/>
      <c r="BL519" s="3"/>
      <c r="BM519" s="3"/>
      <c r="BN519" s="3" t="s">
        <v>2112</v>
      </c>
    </row>
    <row r="520" spans="2:66" ht="12.95" customHeight="1">
      <c r="B520" s="1672" t="s">
        <v>419</v>
      </c>
      <c r="C520" s="1430"/>
      <c r="D520" s="1430"/>
      <c r="E520" s="1430"/>
      <c r="F520" s="1430"/>
      <c r="G520" s="1430"/>
      <c r="H520" s="1431"/>
      <c r="I520" s="41" t="s">
        <v>420</v>
      </c>
      <c r="J520" s="42"/>
      <c r="K520" s="42"/>
      <c r="L520" s="42"/>
      <c r="M520" s="42"/>
      <c r="N520" s="42"/>
      <c r="O520" s="1749" t="s">
        <v>2689</v>
      </c>
      <c r="P520" s="1750"/>
      <c r="Q520" s="1750"/>
      <c r="R520" s="1750"/>
      <c r="S520" s="1750"/>
      <c r="T520" s="1750"/>
      <c r="U520" s="1750"/>
      <c r="V520" s="1750"/>
      <c r="W520" s="1750"/>
      <c r="X520" s="1750"/>
      <c r="Y520" s="1750"/>
      <c r="Z520" s="1750"/>
      <c r="AA520" s="1750"/>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2113</v>
      </c>
    </row>
    <row r="521" spans="2:66" ht="12.95" customHeight="1">
      <c r="B521" s="1673"/>
      <c r="C521" s="1432"/>
      <c r="D521" s="1432"/>
      <c r="E521" s="1432"/>
      <c r="F521" s="1432"/>
      <c r="G521" s="1432"/>
      <c r="H521" s="1433"/>
      <c r="I521" s="114" t="s">
        <v>421</v>
      </c>
      <c r="AB521" s="65"/>
      <c r="AC521" s="1662">
        <v>10</v>
      </c>
      <c r="AD521" s="1663"/>
      <c r="AE521" s="1663"/>
      <c r="AF521" s="1663"/>
      <c r="AG521" s="13" t="s">
        <v>403</v>
      </c>
      <c r="AH521" s="1402">
        <v>2021</v>
      </c>
      <c r="AI521" s="1402"/>
      <c r="AJ521" s="1402"/>
      <c r="AK521" s="1403"/>
      <c r="AZ521" s="3"/>
      <c r="BB521" s="3"/>
      <c r="BC521" s="3"/>
      <c r="BD521" s="3"/>
      <c r="BE521" s="3"/>
      <c r="BF521" s="3"/>
      <c r="BG521" s="3"/>
      <c r="BH521" s="3"/>
      <c r="BI521" s="3"/>
      <c r="BJ521" s="3"/>
      <c r="BK521" s="3"/>
      <c r="BL521" s="3"/>
      <c r="BM521" s="3"/>
      <c r="BN521" s="3" t="s">
        <v>2114</v>
      </c>
    </row>
    <row r="522" spans="2:66" ht="12.95" customHeight="1">
      <c r="B522" s="1673"/>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2">
        <v>4</v>
      </c>
      <c r="AD522" s="1663"/>
      <c r="AE522" s="1663"/>
      <c r="AF522" s="1663"/>
      <c r="AG522" s="38" t="s">
        <v>403</v>
      </c>
      <c r="AH522" s="1402">
        <v>2022</v>
      </c>
      <c r="AI522" s="1402"/>
      <c r="AJ522" s="1402"/>
      <c r="AK522" s="1403"/>
      <c r="AZ522" s="3"/>
      <c r="BA522" s="3"/>
      <c r="BB522" s="3"/>
      <c r="BC522" s="3"/>
      <c r="BD522" s="3"/>
      <c r="BE522" s="3"/>
      <c r="BF522" s="3"/>
      <c r="BG522" s="3"/>
      <c r="BH522" s="3"/>
      <c r="BI522" s="3"/>
      <c r="BJ522" s="3"/>
      <c r="BK522" s="3"/>
      <c r="BL522" s="3"/>
      <c r="BM522" s="3"/>
      <c r="BN522" s="3" t="s">
        <v>2115</v>
      </c>
    </row>
    <row r="523" spans="2:66" ht="12.95" customHeight="1">
      <c r="B523" s="1673"/>
      <c r="C523" s="1432"/>
      <c r="D523" s="1432"/>
      <c r="E523" s="1432"/>
      <c r="F523" s="1432"/>
      <c r="G523" s="1432"/>
      <c r="H523" s="1433"/>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2116</v>
      </c>
    </row>
    <row r="524" spans="2:66" ht="12.95" customHeight="1">
      <c r="B524" s="1673"/>
      <c r="C524" s="1432"/>
      <c r="D524" s="1432"/>
      <c r="E524" s="1432"/>
      <c r="F524" s="1432"/>
      <c r="G524" s="1432"/>
      <c r="H524" s="1433"/>
      <c r="I524" t="s">
        <v>421</v>
      </c>
      <c r="AC524" s="1662" t="s">
        <v>592</v>
      </c>
      <c r="AD524" s="1663"/>
      <c r="AE524" s="1663"/>
      <c r="AF524" s="1663"/>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2.95" customHeight="1">
      <c r="B525" s="1673"/>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2"/>
      <c r="AI525" s="1402"/>
      <c r="AJ525" s="1402"/>
      <c r="AK525" s="1403"/>
      <c r="AZ525" s="3"/>
      <c r="BA525" s="3"/>
      <c r="BB525" s="3"/>
      <c r="BC525" s="3"/>
      <c r="BD525" s="3"/>
      <c r="BE525" s="3"/>
      <c r="BF525" s="3"/>
      <c r="BG525" s="3"/>
      <c r="BH525" s="3"/>
      <c r="BI525" s="3"/>
      <c r="BJ525" s="3"/>
      <c r="BK525" s="3"/>
      <c r="BL525" s="3"/>
      <c r="BM525" s="3"/>
      <c r="BN525" s="3" t="s">
        <v>2118</v>
      </c>
    </row>
    <row r="526" spans="2:66" ht="12.95" customHeight="1">
      <c r="B526" s="1673"/>
      <c r="C526" s="1432"/>
      <c r="D526" s="1432"/>
      <c r="E526" s="1432"/>
      <c r="F526" s="1432"/>
      <c r="G526" s="1432"/>
      <c r="H526" s="1433"/>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2119</v>
      </c>
    </row>
    <row r="527" spans="2:66" ht="12.95" customHeight="1">
      <c r="B527" s="1673"/>
      <c r="C527" s="1432"/>
      <c r="D527" s="1432"/>
      <c r="E527" s="1432"/>
      <c r="F527" s="1432"/>
      <c r="G527" s="1432"/>
      <c r="H527" s="1433"/>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2120</v>
      </c>
    </row>
    <row r="528" spans="2:66" ht="12.95" customHeight="1">
      <c r="B528" s="1673"/>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2121</v>
      </c>
    </row>
    <row r="529" spans="1:66" ht="12.95" customHeight="1">
      <c r="B529" s="1673"/>
      <c r="C529" s="1432"/>
      <c r="D529" s="1432"/>
      <c r="E529" s="1432"/>
      <c r="F529" s="1432"/>
      <c r="G529" s="1432"/>
      <c r="H529" s="1433"/>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2.95" customHeight="1">
      <c r="B530" s="1673"/>
      <c r="C530" s="1432"/>
      <c r="D530" s="1432"/>
      <c r="E530" s="1432"/>
      <c r="F530" s="1432"/>
      <c r="G530" s="1432"/>
      <c r="H530" s="1433"/>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2.95" customHeight="1">
      <c r="B531" s="1673"/>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2.95" customHeight="1">
      <c r="B532" s="1673"/>
      <c r="C532" s="1432"/>
      <c r="D532" s="1432"/>
      <c r="E532" s="1432"/>
      <c r="F532" s="1432"/>
      <c r="G532" s="1432"/>
      <c r="H532" s="1433"/>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2.95" customHeight="1">
      <c r="B533" s="1673"/>
      <c r="C533" s="1432"/>
      <c r="D533" s="1432"/>
      <c r="E533" s="1432"/>
      <c r="F533" s="1432"/>
      <c r="G533" s="1432"/>
      <c r="H533" s="1433"/>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2.95" customHeight="1">
      <c r="B534" s="1673"/>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2.95" customHeight="1">
      <c r="B535" s="1673"/>
      <c r="C535" s="1432"/>
      <c r="D535" s="1432"/>
      <c r="E535" s="1432"/>
      <c r="F535" s="1432"/>
      <c r="G535" s="1432"/>
      <c r="H535" s="1433"/>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2.95" customHeight="1">
      <c r="B536" s="1673"/>
      <c r="C536" s="1432"/>
      <c r="D536" s="1432"/>
      <c r="E536" s="1432"/>
      <c r="F536" s="1432"/>
      <c r="G536" s="1432"/>
      <c r="H536" s="1433"/>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2.95" customHeight="1">
      <c r="B537" s="1673"/>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2.95" customHeight="1">
      <c r="B538" s="1673"/>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2">
        <v>1</v>
      </c>
      <c r="AD538" s="1663"/>
      <c r="AE538" s="1663"/>
      <c r="AF538" s="1663"/>
      <c r="AG538" s="38" t="s">
        <v>403</v>
      </c>
      <c r="AH538" s="1402">
        <v>2027</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3"/>
      <c r="C539" s="1432"/>
      <c r="D539" s="1432"/>
      <c r="E539" s="1432"/>
      <c r="F539" s="1432"/>
      <c r="G539" s="1432"/>
      <c r="H539" s="1433"/>
      <c r="I539" t="s">
        <v>564</v>
      </c>
      <c r="AC539" s="1662">
        <v>1</v>
      </c>
      <c r="AD539" s="1663"/>
      <c r="AE539" s="1663"/>
      <c r="AF539" s="1663"/>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3"/>
      <c r="C540" s="1432"/>
      <c r="D540" s="1432"/>
      <c r="E540" s="1432"/>
      <c r="F540" s="1432"/>
      <c r="G540" s="1432"/>
      <c r="H540" s="1433"/>
      <c r="I540" t="s">
        <v>565</v>
      </c>
      <c r="AC540" s="1662">
        <v>6</v>
      </c>
      <c r="AD540" s="1663"/>
      <c r="AE540" s="1663"/>
      <c r="AF540" s="1663"/>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3"/>
      <c r="C541" s="1432"/>
      <c r="D541" s="1432"/>
      <c r="E541" s="1432"/>
      <c r="F541" s="1432"/>
      <c r="G541" s="1432"/>
      <c r="H541" s="1433"/>
      <c r="I541" t="s">
        <v>566</v>
      </c>
      <c r="AC541" s="1662">
        <v>6</v>
      </c>
      <c r="AD541" s="1663"/>
      <c r="AE541" s="1663"/>
      <c r="AF541" s="1663"/>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4"/>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2">
        <v>7</v>
      </c>
      <c r="AD542" s="1663"/>
      <c r="AE542" s="1663"/>
      <c r="AF542" s="1663"/>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72" t="s">
        <v>2104</v>
      </c>
      <c r="C551" s="1430"/>
      <c r="D551" s="1430"/>
      <c r="E551" s="1430"/>
      <c r="F551" s="1430"/>
      <c r="G551" s="1430"/>
      <c r="H551" s="1430"/>
      <c r="I551" s="1430"/>
      <c r="J551" s="1430"/>
      <c r="K551" s="1430"/>
      <c r="L551" s="1431"/>
      <c r="M551" s="1672" t="s">
        <v>2105</v>
      </c>
      <c r="N551" s="1430"/>
      <c r="O551" s="1430"/>
      <c r="P551" s="1431"/>
      <c r="Q551" s="1672" t="s">
        <v>2131</v>
      </c>
      <c r="R551" s="1430"/>
      <c r="S551" s="1431"/>
      <c r="T551" s="1672" t="s">
        <v>2132</v>
      </c>
      <c r="U551" s="1430"/>
      <c r="V551" s="1431"/>
      <c r="W551" s="1672" t="s">
        <v>454</v>
      </c>
      <c r="X551" s="1430"/>
      <c r="Y551" s="1431"/>
      <c r="Z551" s="1672" t="s">
        <v>1853</v>
      </c>
      <c r="AA551" s="1430"/>
      <c r="AB551" s="1430"/>
      <c r="AC551" s="1430"/>
      <c r="AD551" s="1431"/>
      <c r="AE551" s="1672" t="s">
        <v>1677</v>
      </c>
      <c r="AF551" s="1430"/>
      <c r="AG551" s="1430"/>
      <c r="AH551" s="1431"/>
      <c r="AI551" s="1672" t="s">
        <v>1678</v>
      </c>
      <c r="AJ551" s="1430"/>
      <c r="AK551" s="1430"/>
      <c r="AL551" s="1431"/>
      <c r="AM551" s="1672" t="s">
        <v>455</v>
      </c>
      <c r="AN551" s="1430"/>
      <c r="AO551" s="1430"/>
      <c r="AP551" s="1430"/>
      <c r="AQ551" s="1430"/>
      <c r="AR551" s="1430"/>
      <c r="AS551" s="1431"/>
      <c r="BB551" s="3"/>
      <c r="BC551" s="3"/>
      <c r="BD551" s="3"/>
      <c r="BE551" s="3"/>
      <c r="BF551" s="3"/>
      <c r="BG551" s="3"/>
      <c r="BH551" s="3" t="s">
        <v>582</v>
      </c>
      <c r="BI551" s="3" t="str">
        <f>AG657</f>
        <v>No</v>
      </c>
    </row>
    <row r="552" spans="1:61" ht="12.95" customHeight="1">
      <c r="B552" s="1673"/>
      <c r="C552" s="1432"/>
      <c r="D552" s="1432"/>
      <c r="E552" s="1432"/>
      <c r="F552" s="1432"/>
      <c r="G552" s="1432"/>
      <c r="H552" s="1432"/>
      <c r="I552" s="1432"/>
      <c r="J552" s="1432"/>
      <c r="K552" s="1432"/>
      <c r="L552" s="1433"/>
      <c r="M552" s="1673"/>
      <c r="N552" s="1432"/>
      <c r="O552" s="1432"/>
      <c r="P552" s="1433"/>
      <c r="Q552" s="1673"/>
      <c r="R552" s="1432"/>
      <c r="S552" s="1433"/>
      <c r="T552" s="1673"/>
      <c r="U552" s="1432"/>
      <c r="V552" s="1433"/>
      <c r="W552" s="1673"/>
      <c r="X552" s="1432"/>
      <c r="Y552" s="1433"/>
      <c r="Z552" s="1673"/>
      <c r="AA552" s="1432"/>
      <c r="AB552" s="1432"/>
      <c r="AC552" s="1432"/>
      <c r="AD552" s="1433"/>
      <c r="AE552" s="1673"/>
      <c r="AF552" s="1432"/>
      <c r="AG552" s="1432"/>
      <c r="AH552" s="1433"/>
      <c r="AI552" s="1673"/>
      <c r="AJ552" s="1432"/>
      <c r="AK552" s="1432"/>
      <c r="AL552" s="1433"/>
      <c r="AM552" s="1673"/>
      <c r="AN552" s="1432"/>
      <c r="AO552" s="1432"/>
      <c r="AP552" s="1432"/>
      <c r="AQ552" s="1432"/>
      <c r="AR552" s="1432"/>
      <c r="AS552" s="1433"/>
      <c r="AU552" s="1147"/>
      <c r="BB552" s="3"/>
      <c r="BC552" s="3"/>
      <c r="BD552" s="3"/>
      <c r="BE552" s="3"/>
      <c r="BF552" s="3"/>
      <c r="BG552" s="3"/>
      <c r="BH552" s="3"/>
      <c r="BI552" s="3"/>
    </row>
    <row r="553" spans="1:61" ht="12.95" customHeight="1">
      <c r="B553" s="1674"/>
      <c r="C553" s="1434"/>
      <c r="D553" s="1434"/>
      <c r="E553" s="1434"/>
      <c r="F553" s="1434"/>
      <c r="G553" s="1434"/>
      <c r="H553" s="1434"/>
      <c r="I553" s="1434"/>
      <c r="J553" s="1434"/>
      <c r="K553" s="1434"/>
      <c r="L553" s="1435"/>
      <c r="M553" s="1674"/>
      <c r="N553" s="1434"/>
      <c r="O553" s="1434"/>
      <c r="P553" s="1435"/>
      <c r="Q553" s="1674"/>
      <c r="R553" s="1434"/>
      <c r="S553" s="1435"/>
      <c r="T553" s="1674"/>
      <c r="U553" s="1434"/>
      <c r="V553" s="1435"/>
      <c r="W553" s="1674"/>
      <c r="X553" s="1434"/>
      <c r="Y553" s="1435"/>
      <c r="Z553" s="1674"/>
      <c r="AA553" s="1434"/>
      <c r="AB553" s="1434"/>
      <c r="AC553" s="1434"/>
      <c r="AD553" s="1435"/>
      <c r="AE553" s="1674"/>
      <c r="AF553" s="1434"/>
      <c r="AG553" s="1434"/>
      <c r="AH553" s="1435"/>
      <c r="AI553" s="1674"/>
      <c r="AJ553" s="1434"/>
      <c r="AK553" s="1434"/>
      <c r="AL553" s="1435"/>
      <c r="AM553" s="1674"/>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3" t="s">
        <v>2707</v>
      </c>
      <c r="D554" s="1693"/>
      <c r="E554" s="1693"/>
      <c r="F554" s="1693"/>
      <c r="G554" s="1693"/>
      <c r="H554" s="1693"/>
      <c r="I554" s="1693"/>
      <c r="J554" s="1693"/>
      <c r="K554" s="1693"/>
      <c r="L554" s="1693"/>
      <c r="M554" s="1693" t="s">
        <v>2121</v>
      </c>
      <c r="N554" s="1693"/>
      <c r="O554" s="1693"/>
      <c r="P554" s="1693"/>
      <c r="Q554" s="1452">
        <v>24</v>
      </c>
      <c r="R554" s="1452"/>
      <c r="S554" s="1453"/>
      <c r="T554" s="1451">
        <v>24</v>
      </c>
      <c r="U554" s="1452"/>
      <c r="V554" s="1453"/>
      <c r="W554" s="1454">
        <v>6.8000000000000005E-2</v>
      </c>
      <c r="X554" s="1455"/>
      <c r="Y554" s="1456"/>
      <c r="Z554" s="1694" t="s">
        <v>1185</v>
      </c>
      <c r="AA554" s="1694"/>
      <c r="AB554" s="1694"/>
      <c r="AC554" s="1694"/>
      <c r="AD554" s="1694"/>
      <c r="AE554" s="1675"/>
      <c r="AF554" s="1676"/>
      <c r="AG554" s="1676"/>
      <c r="AH554" s="1677"/>
      <c r="AI554" s="1678"/>
      <c r="AJ554" s="1679"/>
      <c r="AK554" s="1679"/>
      <c r="AL554" s="1680"/>
      <c r="AM554" s="1668">
        <v>9641421</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2686</v>
      </c>
      <c r="D555" s="1681"/>
      <c r="E555" s="1681"/>
      <c r="F555" s="1681"/>
      <c r="G555" s="1681"/>
      <c r="H555" s="1681"/>
      <c r="I555" s="1681"/>
      <c r="J555" s="1681"/>
      <c r="K555" s="1681"/>
      <c r="L555" s="1681"/>
      <c r="M555" s="1693" t="s">
        <v>2114</v>
      </c>
      <c r="N555" s="1693"/>
      <c r="O555" s="1693"/>
      <c r="P555" s="1693"/>
      <c r="Q555" s="1451"/>
      <c r="R555" s="1452"/>
      <c r="S555" s="1453"/>
      <c r="T555" s="1451"/>
      <c r="U555" s="1452"/>
      <c r="V555" s="1453"/>
      <c r="W555" s="1454"/>
      <c r="X555" s="1455"/>
      <c r="Y555" s="1456"/>
      <c r="Z555" s="1694" t="s">
        <v>1185</v>
      </c>
      <c r="AA555" s="1694"/>
      <c r="AB555" s="1694"/>
      <c r="AC555" s="1694"/>
      <c r="AD555" s="1694"/>
      <c r="AE555" s="1675"/>
      <c r="AF555" s="1676"/>
      <c r="AG555" s="1676"/>
      <c r="AH555" s="1677"/>
      <c r="AI555" s="1678"/>
      <c r="AJ555" s="1679"/>
      <c r="AK555" s="1679"/>
      <c r="AL555" s="1680"/>
      <c r="AM555" s="1668">
        <v>6425000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2687</v>
      </c>
      <c r="D556" s="1681"/>
      <c r="E556" s="1681"/>
      <c r="F556" s="1681"/>
      <c r="G556" s="1681"/>
      <c r="H556" s="1681"/>
      <c r="I556" s="1681"/>
      <c r="J556" s="1681"/>
      <c r="K556" s="1681"/>
      <c r="L556" s="1681"/>
      <c r="M556" s="1693" t="s">
        <v>2110</v>
      </c>
      <c r="N556" s="1693"/>
      <c r="O556" s="1693"/>
      <c r="P556" s="1693"/>
      <c r="Q556" s="1451"/>
      <c r="R556" s="1452"/>
      <c r="S556" s="1453"/>
      <c r="T556" s="1451"/>
      <c r="U556" s="1452"/>
      <c r="V556" s="1453"/>
      <c r="W556" s="1454"/>
      <c r="X556" s="1455"/>
      <c r="Y556" s="1456"/>
      <c r="Z556" s="1694" t="s">
        <v>1185</v>
      </c>
      <c r="AA556" s="1694"/>
      <c r="AB556" s="1694"/>
      <c r="AC556" s="1694"/>
      <c r="AD556" s="1694"/>
      <c r="AE556" s="1675"/>
      <c r="AF556" s="1676"/>
      <c r="AG556" s="1676"/>
      <c r="AH556" s="1677"/>
      <c r="AI556" s="1678"/>
      <c r="AJ556" s="1679"/>
      <c r="AK556" s="1679"/>
      <c r="AL556" s="1680"/>
      <c r="AM556" s="1668">
        <f>+AO641-AM554-AM555</f>
        <v>3147831</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c r="D557" s="1681"/>
      <c r="E557" s="1681"/>
      <c r="F557" s="1681"/>
      <c r="G557" s="1681"/>
      <c r="H557" s="1681"/>
      <c r="I557" s="1681"/>
      <c r="J557" s="1681"/>
      <c r="K557" s="1681"/>
      <c r="L557" s="1681"/>
      <c r="M557" s="1693" t="s">
        <v>1185</v>
      </c>
      <c r="N557" s="1693"/>
      <c r="O557" s="1693"/>
      <c r="P557" s="1693"/>
      <c r="Q557" s="1451"/>
      <c r="R557" s="1452"/>
      <c r="S557" s="1453"/>
      <c r="T557" s="1451"/>
      <c r="U557" s="1452"/>
      <c r="V557" s="1453"/>
      <c r="W557" s="1454"/>
      <c r="X557" s="1455"/>
      <c r="Y557" s="1456"/>
      <c r="Z557" s="1694" t="s">
        <v>1185</v>
      </c>
      <c r="AA557" s="1694"/>
      <c r="AB557" s="1694"/>
      <c r="AC557" s="1694"/>
      <c r="AD557" s="1694"/>
      <c r="AE557" s="1675"/>
      <c r="AF557" s="1676"/>
      <c r="AG557" s="1676"/>
      <c r="AH557" s="1677"/>
      <c r="AI557" s="1678"/>
      <c r="AJ557" s="1679"/>
      <c r="AK557" s="1679"/>
      <c r="AL557" s="1680"/>
      <c r="AM557" s="1668"/>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c r="D558" s="1681"/>
      <c r="E558" s="1681"/>
      <c r="F558" s="1681"/>
      <c r="G558" s="1681"/>
      <c r="H558" s="1681"/>
      <c r="I558" s="1681"/>
      <c r="J558" s="1681"/>
      <c r="K558" s="1681"/>
      <c r="L558" s="1681"/>
      <c r="M558" s="1693" t="s">
        <v>1185</v>
      </c>
      <c r="N558" s="1693"/>
      <c r="O558" s="1693"/>
      <c r="P558" s="1693"/>
      <c r="Q558" s="1451"/>
      <c r="R558" s="1452"/>
      <c r="S558" s="1453"/>
      <c r="T558" s="1451"/>
      <c r="U558" s="1452"/>
      <c r="V558" s="1453"/>
      <c r="W558" s="1454"/>
      <c r="X558" s="1455"/>
      <c r="Y558" s="1456"/>
      <c r="Z558" s="1694" t="s">
        <v>1185</v>
      </c>
      <c r="AA558" s="1694"/>
      <c r="AB558" s="1694"/>
      <c r="AC558" s="1694"/>
      <c r="AD558" s="1694"/>
      <c r="AE558" s="1675"/>
      <c r="AF558" s="1676"/>
      <c r="AG558" s="1676"/>
      <c r="AH558" s="1677"/>
      <c r="AI558" s="1678"/>
      <c r="AJ558" s="1679"/>
      <c r="AK558" s="1679"/>
      <c r="AL558" s="1680"/>
      <c r="AM558" s="1668"/>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1"/>
      <c r="D559" s="1681"/>
      <c r="E559" s="1681"/>
      <c r="F559" s="1681"/>
      <c r="G559" s="1681"/>
      <c r="H559" s="1681"/>
      <c r="I559" s="1681"/>
      <c r="J559" s="1681"/>
      <c r="K559" s="1681"/>
      <c r="L559" s="1681"/>
      <c r="M559" s="1693" t="s">
        <v>1185</v>
      </c>
      <c r="N559" s="1693"/>
      <c r="O559" s="1693"/>
      <c r="P559" s="1693"/>
      <c r="Q559" s="1451"/>
      <c r="R559" s="1452"/>
      <c r="S559" s="1453"/>
      <c r="T559" s="1451"/>
      <c r="U559" s="1452"/>
      <c r="V559" s="1453"/>
      <c r="W559" s="1454"/>
      <c r="X559" s="1455"/>
      <c r="Y559" s="1456"/>
      <c r="Z559" s="1694" t="s">
        <v>1185</v>
      </c>
      <c r="AA559" s="1694"/>
      <c r="AB559" s="1694"/>
      <c r="AC559" s="1694"/>
      <c r="AD559" s="1694"/>
      <c r="AE559" s="1675"/>
      <c r="AF559" s="1676"/>
      <c r="AG559" s="1676"/>
      <c r="AH559" s="1677"/>
      <c r="AI559" s="1678"/>
      <c r="AJ559" s="1679"/>
      <c r="AK559" s="1679"/>
      <c r="AL559" s="1680"/>
      <c r="AM559" s="1668"/>
      <c r="AN559" s="1669"/>
      <c r="AO559" s="1669"/>
      <c r="AP559" s="1669"/>
      <c r="AQ559" s="1669"/>
      <c r="AR559" s="1669"/>
      <c r="AS559" s="1670"/>
      <c r="AT559" s="1148" t="str">
        <f t="shared" si="0"/>
        <v/>
      </c>
      <c r="AU559" s="1147"/>
      <c r="BB559" s="3"/>
      <c r="BC559" s="3"/>
      <c r="BD559" s="3"/>
      <c r="BE559" s="3"/>
      <c r="BF559" s="3"/>
      <c r="BG559" s="3"/>
      <c r="BH559" s="3" t="s">
        <v>585</v>
      </c>
      <c r="BI559" s="3" t="str">
        <f>AG665</f>
        <v>No</v>
      </c>
    </row>
    <row r="560" spans="1:61" ht="12.95" customHeight="1">
      <c r="B560" s="52" t="s">
        <v>456</v>
      </c>
      <c r="C560" s="1681"/>
      <c r="D560" s="1681"/>
      <c r="E560" s="1681"/>
      <c r="F560" s="1681"/>
      <c r="G560" s="1681"/>
      <c r="H560" s="1681"/>
      <c r="I560" s="1681"/>
      <c r="J560" s="1681"/>
      <c r="K560" s="1681"/>
      <c r="L560" s="1681"/>
      <c r="M560" s="1693" t="s">
        <v>1185</v>
      </c>
      <c r="N560" s="1693"/>
      <c r="O560" s="1693"/>
      <c r="P560" s="1693"/>
      <c r="Q560" s="1451"/>
      <c r="R560" s="1452"/>
      <c r="S560" s="1453"/>
      <c r="T560" s="1451"/>
      <c r="U560" s="1452"/>
      <c r="V560" s="1453"/>
      <c r="W560" s="1454"/>
      <c r="X560" s="1455"/>
      <c r="Y560" s="1456"/>
      <c r="Z560" s="1694" t="s">
        <v>1185</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c r="D561" s="1681"/>
      <c r="E561" s="1681"/>
      <c r="F561" s="1681"/>
      <c r="G561" s="1681"/>
      <c r="H561" s="1681"/>
      <c r="I561" s="1681"/>
      <c r="J561" s="1681"/>
      <c r="K561" s="1681"/>
      <c r="L561" s="1681"/>
      <c r="M561" s="1693" t="s">
        <v>1185</v>
      </c>
      <c r="N561" s="1693"/>
      <c r="O561" s="1693"/>
      <c r="P561" s="1693"/>
      <c r="Q561" s="1451"/>
      <c r="R561" s="1452"/>
      <c r="S561" s="1453"/>
      <c r="T561" s="1451"/>
      <c r="U561" s="1452"/>
      <c r="V561" s="1453"/>
      <c r="W561" s="1454"/>
      <c r="X561" s="1455"/>
      <c r="Y561" s="1456"/>
      <c r="Z561" s="1694" t="s">
        <v>1185</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c r="D562" s="1681"/>
      <c r="E562" s="1681"/>
      <c r="F562" s="1681"/>
      <c r="G562" s="1681"/>
      <c r="H562" s="1681"/>
      <c r="I562" s="1681"/>
      <c r="J562" s="1681"/>
      <c r="K562" s="1681"/>
      <c r="L562" s="1681"/>
      <c r="M562" s="1693" t="s">
        <v>1185</v>
      </c>
      <c r="N562" s="1693"/>
      <c r="O562" s="1693"/>
      <c r="P562" s="1693"/>
      <c r="Q562" s="1451"/>
      <c r="R562" s="1452"/>
      <c r="S562" s="1453"/>
      <c r="T562" s="1451"/>
      <c r="U562" s="1452"/>
      <c r="V562" s="1453"/>
      <c r="W562" s="1454"/>
      <c r="X562" s="1455"/>
      <c r="Y562" s="1456"/>
      <c r="Z562" s="1694" t="s">
        <v>1185</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3" t="s">
        <v>1185</v>
      </c>
      <c r="N563" s="1693"/>
      <c r="O563" s="1693"/>
      <c r="P563" s="1693"/>
      <c r="Q563" s="1451"/>
      <c r="R563" s="1452"/>
      <c r="S563" s="1453"/>
      <c r="T563" s="1451"/>
      <c r="U563" s="1452"/>
      <c r="V563" s="1453"/>
      <c r="W563" s="1454"/>
      <c r="X563" s="1455"/>
      <c r="Y563" s="1456"/>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1185</v>
      </c>
      <c r="N564" s="1693"/>
      <c r="O564" s="1693"/>
      <c r="P564" s="1693"/>
      <c r="Q564" s="1451"/>
      <c r="R564" s="1452"/>
      <c r="S564" s="1453"/>
      <c r="T564" s="1451"/>
      <c r="U564" s="1452"/>
      <c r="V564" s="1453"/>
      <c r="W564" s="1454"/>
      <c r="X564" s="1455"/>
      <c r="Y564" s="1456"/>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1185</v>
      </c>
      <c r="N565" s="1693"/>
      <c r="O565" s="1693"/>
      <c r="P565" s="1693"/>
      <c r="Q565" s="1451"/>
      <c r="R565" s="1452"/>
      <c r="S565" s="1453"/>
      <c r="T565" s="1451"/>
      <c r="U565" s="1452"/>
      <c r="V565" s="1453"/>
      <c r="W565" s="1454"/>
      <c r="X565" s="1455"/>
      <c r="Y565" s="1456"/>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5">
        <f>SUM(AM554:AS565)</f>
        <v>19214252</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Citi Bank Tax Exempt Construction Loan</v>
      </c>
      <c r="H568" s="1358"/>
      <c r="I568" s="1358"/>
      <c r="J568" s="1358"/>
      <c r="K568" s="1358"/>
      <c r="L568" s="1358"/>
      <c r="M568" s="1358"/>
      <c r="N568" s="1358"/>
      <c r="O568" s="1358"/>
      <c r="P568" s="1358"/>
      <c r="Q568" s="1358"/>
      <c r="R568" s="1358"/>
      <c r="S568" s="8"/>
      <c r="T568" s="55" t="s">
        <v>113</v>
      </c>
      <c r="U568" t="s">
        <v>464</v>
      </c>
      <c r="Z568" s="1358" t="str">
        <f>C555</f>
        <v xml:space="preserve">Homekey </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2712</v>
      </c>
      <c r="H569" s="1371"/>
      <c r="I569" s="1371"/>
      <c r="J569" s="1371"/>
      <c r="K569" s="1371"/>
      <c r="L569" s="1371"/>
      <c r="M569" s="1371"/>
      <c r="N569" s="1371"/>
      <c r="O569" s="1371"/>
      <c r="P569" s="1371"/>
      <c r="Q569" s="1371"/>
      <c r="R569" s="1371"/>
      <c r="S569" s="8"/>
      <c r="T569" s="22"/>
      <c r="U569" t="s">
        <v>85</v>
      </c>
      <c r="Z569" s="1371" t="s">
        <v>2717</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2713</v>
      </c>
      <c r="H570" s="1371"/>
      <c r="I570" s="1371"/>
      <c r="J570" s="1371"/>
      <c r="K570" s="1371"/>
      <c r="L570" s="1371"/>
      <c r="M570" s="1371"/>
      <c r="N570" s="1371"/>
      <c r="O570" s="1371"/>
      <c r="P570" s="1371"/>
      <c r="Q570" s="1371"/>
      <c r="R570" s="1371"/>
      <c r="T570" s="22"/>
      <c r="U570" t="s">
        <v>581</v>
      </c>
      <c r="Z570" s="1348" t="s">
        <v>2718</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2714</v>
      </c>
      <c r="H571" s="1371"/>
      <c r="I571" s="1371"/>
      <c r="J571" s="1371"/>
      <c r="K571" s="1371"/>
      <c r="L571" s="1371"/>
      <c r="M571" s="1371"/>
      <c r="N571" s="1371"/>
      <c r="O571" s="1371"/>
      <c r="P571" s="1371"/>
      <c r="Q571" s="1371"/>
      <c r="R571" s="1371"/>
      <c r="S571" s="8"/>
      <c r="T571" s="22"/>
      <c r="U571" t="s">
        <v>17</v>
      </c>
      <c r="Z571" s="1348" t="s">
        <v>2719</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2715</v>
      </c>
      <c r="H572" s="1346"/>
      <c r="I572" s="1346"/>
      <c r="J572" s="1346"/>
      <c r="K572" s="1346"/>
      <c r="L572" s="1346"/>
      <c r="O572" s="33" t="s">
        <v>206</v>
      </c>
      <c r="P572" s="1436"/>
      <c r="Q572" s="1436"/>
      <c r="R572" s="1436"/>
      <c r="S572" s="10"/>
      <c r="T572" s="22"/>
      <c r="U572" t="s">
        <v>316</v>
      </c>
      <c r="Z572" s="1346">
        <v>9162632771</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
        <v>2716</v>
      </c>
      <c r="I573" s="1371"/>
      <c r="J573" s="1371"/>
      <c r="K573" s="1371"/>
      <c r="L573" s="1371"/>
      <c r="M573" s="1371"/>
      <c r="N573" s="1371"/>
      <c r="O573" s="1371"/>
      <c r="P573" s="1371"/>
      <c r="Q573" s="1371"/>
      <c r="R573" s="1371"/>
      <c r="S573" s="8"/>
      <c r="T573" s="22"/>
      <c r="U573" t="s">
        <v>18</v>
      </c>
      <c r="AA573" s="1371" t="s">
        <v>2720</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6"/>
      <c r="N574" s="1696"/>
      <c r="O574" s="1696"/>
      <c r="P574" s="1696"/>
      <c r="Q574" s="1696"/>
      <c r="R574" s="1696"/>
      <c r="S574" s="8"/>
      <c r="T574" s="22"/>
      <c r="U574" s="320"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Boston Financial Tax Credit Equity</v>
      </c>
      <c r="H577" s="1358"/>
      <c r="I577" s="1358"/>
      <c r="J577" s="1358"/>
      <c r="K577" s="1358"/>
      <c r="L577" s="1358"/>
      <c r="M577" s="1358"/>
      <c r="N577" s="1358"/>
      <c r="O577" s="1358"/>
      <c r="P577" s="1358"/>
      <c r="Q577" s="1358"/>
      <c r="R577" s="1358"/>
      <c r="T577" s="55" t="s">
        <v>582</v>
      </c>
      <c r="U577" t="s">
        <v>464</v>
      </c>
      <c r="Z577" s="1358">
        <f>C557</f>
        <v>0</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2721</v>
      </c>
      <c r="H578" s="1371"/>
      <c r="I578" s="1371"/>
      <c r="J578" s="1371"/>
      <c r="K578" s="1371"/>
      <c r="L578" s="1371"/>
      <c r="M578" s="1371"/>
      <c r="N578" s="1371"/>
      <c r="O578" s="1371"/>
      <c r="P578" s="1371"/>
      <c r="Q578" s="1371"/>
      <c r="R578" s="1371"/>
      <c r="T578" s="22"/>
      <c r="U578" t="s">
        <v>85</v>
      </c>
      <c r="Z578" s="1371"/>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2665</v>
      </c>
      <c r="H579" s="1348"/>
      <c r="I579" s="1348"/>
      <c r="J579" s="1348"/>
      <c r="K579" s="1348"/>
      <c r="L579" s="1348"/>
      <c r="M579" s="1348"/>
      <c r="N579" s="1348"/>
      <c r="O579" s="1348"/>
      <c r="P579" s="1348"/>
      <c r="Q579" s="1348"/>
      <c r="R579" s="1348"/>
      <c r="T579" s="22"/>
      <c r="U579" t="s">
        <v>581</v>
      </c>
      <c r="Z579" s="1348"/>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2666</v>
      </c>
      <c r="H580" s="1348"/>
      <c r="I580" s="1348"/>
      <c r="J580" s="1348"/>
      <c r="K580" s="1348"/>
      <c r="L580" s="1348"/>
      <c r="M580" s="1348"/>
      <c r="N580" s="1348"/>
      <c r="O580" s="1348"/>
      <c r="P580" s="1348"/>
      <c r="Q580" s="1348"/>
      <c r="R580" s="1348"/>
      <c r="T580" s="22"/>
      <c r="U580" t="s">
        <v>17</v>
      </c>
      <c r="Z580" s="1348"/>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2667</v>
      </c>
      <c r="H581" s="1346"/>
      <c r="I581" s="1346"/>
      <c r="J581" s="1346"/>
      <c r="K581" s="1346"/>
      <c r="L581" s="1346"/>
      <c r="O581" s="33" t="s">
        <v>206</v>
      </c>
      <c r="P581" s="1436"/>
      <c r="Q581" s="1436"/>
      <c r="R581" s="1436"/>
      <c r="T581" s="22"/>
      <c r="U581" t="s">
        <v>316</v>
      </c>
      <c r="Z581" s="1346"/>
      <c r="AA581" s="1346"/>
      <c r="AB581" s="1346"/>
      <c r="AC581" s="1346"/>
      <c r="AD581" s="1346"/>
      <c r="AE581" s="1346"/>
      <c r="AH581" s="33" t="s">
        <v>206</v>
      </c>
      <c r="AI581" s="1436"/>
      <c r="AJ581" s="1436"/>
      <c r="AK581" s="1436"/>
      <c r="BB581" s="3"/>
      <c r="BC581" s="3"/>
    </row>
    <row r="582" spans="1:55" ht="12.95" customHeight="1">
      <c r="A582" s="22"/>
      <c r="B582" t="s">
        <v>18</v>
      </c>
      <c r="H582" s="1371" t="s">
        <v>2722</v>
      </c>
      <c r="I582" s="1371"/>
      <c r="J582" s="1371"/>
      <c r="K582" s="1371"/>
      <c r="L582" s="1371"/>
      <c r="M582" s="1371"/>
      <c r="N582" s="1371"/>
      <c r="O582" s="1371"/>
      <c r="P582" s="1371"/>
      <c r="Q582" s="1371"/>
      <c r="R582" s="1371"/>
      <c r="T582" s="22"/>
      <c r="U582" t="s">
        <v>18</v>
      </c>
      <c r="AA582" s="1371"/>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670</v>
      </c>
      <c r="AH583" s="1332"/>
      <c r="BB583" s="3"/>
      <c r="BC583" s="3"/>
    </row>
    <row r="584" spans="1:55" ht="12.95" customHeight="1">
      <c r="A584" s="22"/>
      <c r="T584" s="22"/>
      <c r="BB584" s="3"/>
      <c r="BC584" s="3"/>
    </row>
    <row r="585" spans="1:55" ht="12.95" customHeight="1">
      <c r="A585" s="55" t="s">
        <v>764</v>
      </c>
      <c r="B585" t="s">
        <v>464</v>
      </c>
      <c r="G585" s="1358">
        <f>C558</f>
        <v>0</v>
      </c>
      <c r="H585" s="1358"/>
      <c r="I585" s="1358"/>
      <c r="J585" s="1358"/>
      <c r="K585" s="1358"/>
      <c r="L585" s="1358"/>
      <c r="M585" s="1358"/>
      <c r="N585" s="1358"/>
      <c r="O585" s="1358"/>
      <c r="P585" s="1358"/>
      <c r="Q585" s="1358"/>
      <c r="R585" s="1358"/>
      <c r="T585" s="55" t="s">
        <v>585</v>
      </c>
      <c r="U585" t="s">
        <v>464</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c r="H586" s="1371"/>
      <c r="I586" s="1371"/>
      <c r="J586" s="1371"/>
      <c r="K586" s="1371"/>
      <c r="L586" s="1371"/>
      <c r="M586" s="1371"/>
      <c r="N586" s="1371"/>
      <c r="O586" s="1371"/>
      <c r="P586" s="1371"/>
      <c r="Q586" s="1371"/>
      <c r="R586" s="1371"/>
      <c r="T586" s="22"/>
      <c r="U586" t="s">
        <v>85</v>
      </c>
      <c r="Z586" s="1371"/>
      <c r="AA586" s="1371"/>
      <c r="AB586" s="1371"/>
      <c r="AC586" s="1371"/>
      <c r="AD586" s="1371"/>
      <c r="AE586" s="1371"/>
      <c r="AF586" s="1371"/>
      <c r="AG586" s="1371"/>
      <c r="AH586" s="1371"/>
      <c r="AI586" s="1371"/>
      <c r="AJ586" s="1371"/>
      <c r="AK586" s="1371"/>
      <c r="BB586" s="3"/>
      <c r="BC586" s="3"/>
    </row>
    <row r="587" spans="1:55" ht="12.95" customHeight="1">
      <c r="A587" s="22"/>
      <c r="B587" t="s">
        <v>581</v>
      </c>
      <c r="G587" s="1371"/>
      <c r="H587" s="1371"/>
      <c r="I587" s="1371"/>
      <c r="J587" s="1371"/>
      <c r="K587" s="1371"/>
      <c r="L587" s="1371"/>
      <c r="M587" s="1371"/>
      <c r="N587" s="1371"/>
      <c r="O587" s="1371"/>
      <c r="P587" s="1371"/>
      <c r="Q587" s="1371"/>
      <c r="R587" s="1371"/>
      <c r="T587" s="22"/>
      <c r="U587" t="s">
        <v>581</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1"/>
      <c r="H588" s="1371"/>
      <c r="I588" s="1371"/>
      <c r="J588" s="1371"/>
      <c r="K588" s="1371"/>
      <c r="L588" s="1371"/>
      <c r="M588" s="1371"/>
      <c r="N588" s="1371"/>
      <c r="O588" s="1371"/>
      <c r="P588" s="1371"/>
      <c r="Q588" s="1371"/>
      <c r="R588" s="1371"/>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346"/>
      <c r="H589" s="1346"/>
      <c r="I589" s="1346"/>
      <c r="J589" s="1346"/>
      <c r="K589" s="1346"/>
      <c r="L589" s="1346"/>
      <c r="O589" s="33" t="s">
        <v>206</v>
      </c>
      <c r="P589" s="1436"/>
      <c r="Q589" s="1436"/>
      <c r="R589" s="1436"/>
      <c r="T589" s="22"/>
      <c r="U589" t="s">
        <v>316</v>
      </c>
      <c r="Z589" s="1346"/>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c r="I590" s="1371"/>
      <c r="J590" s="1371"/>
      <c r="K590" s="1371"/>
      <c r="L590" s="1371"/>
      <c r="M590" s="1371"/>
      <c r="N590" s="1371"/>
      <c r="O590" s="1371"/>
      <c r="P590" s="1371"/>
      <c r="Q590" s="1371"/>
      <c r="R590" s="1371"/>
      <c r="T590" s="22"/>
      <c r="U590" t="s">
        <v>18</v>
      </c>
      <c r="AA590" s="1371"/>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670</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0" t="s">
        <v>2104</v>
      </c>
      <c r="C624" s="1700"/>
      <c r="D624" s="1700"/>
      <c r="E624" s="1700"/>
      <c r="F624" s="1700"/>
      <c r="G624" s="1700"/>
      <c r="H624" s="1700"/>
      <c r="I624" s="1700"/>
      <c r="J624" s="1700"/>
      <c r="K624" s="1700"/>
      <c r="L624" s="1700"/>
      <c r="M624" s="1441" t="s">
        <v>2105</v>
      </c>
      <c r="N624" s="1441"/>
      <c r="O624" s="1441"/>
      <c r="P624" s="1441"/>
      <c r="Q624" s="1441" t="s">
        <v>1854</v>
      </c>
      <c r="R624" s="1441"/>
      <c r="S624" s="1441"/>
      <c r="T624" s="1441" t="s">
        <v>1852</v>
      </c>
      <c r="U624" s="1441"/>
      <c r="V624" s="1441"/>
      <c r="W624" s="1701" t="s">
        <v>454</v>
      </c>
      <c r="X624" s="1701"/>
      <c r="Y624" s="1701"/>
      <c r="Z624" s="1430" t="s">
        <v>2134</v>
      </c>
      <c r="AA624" s="1430"/>
      <c r="AB624" s="1431"/>
      <c r="AC624" s="1682" t="s">
        <v>1677</v>
      </c>
      <c r="AD624" s="1683"/>
      <c r="AE624" s="1684"/>
      <c r="AF624" s="1672" t="s">
        <v>1932</v>
      </c>
      <c r="AG624" s="1430"/>
      <c r="AH624" s="1430"/>
      <c r="AI624" s="1430"/>
      <c r="AJ624" s="1431"/>
      <c r="AK624" s="1733" t="s">
        <v>1933</v>
      </c>
      <c r="AL624" s="1734"/>
      <c r="AM624" s="1734"/>
      <c r="AN624" s="1735"/>
      <c r="AO624" s="1441" t="s">
        <v>455</v>
      </c>
      <c r="AP624" s="1441"/>
      <c r="AQ624" s="1441"/>
      <c r="AR624" s="1441"/>
      <c r="AS624" s="1441"/>
      <c r="AU624" s="3"/>
      <c r="AZ624" s="3"/>
      <c r="BA624" s="3"/>
      <c r="BB624" s="3"/>
      <c r="BC624" s="3"/>
    </row>
    <row r="625" spans="2:157" ht="12.95"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5"/>
      <c r="AD625" s="1686"/>
      <c r="AE625" s="1687"/>
      <c r="AF625" s="1673"/>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8"/>
      <c r="AD626" s="1689"/>
      <c r="AE626" s="1690"/>
      <c r="AF626" s="1674"/>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2" t="s">
        <v>2688</v>
      </c>
      <c r="D627" s="1692"/>
      <c r="E627" s="1692"/>
      <c r="F627" s="1692"/>
      <c r="G627" s="1692"/>
      <c r="H627" s="1692"/>
      <c r="I627" s="1692"/>
      <c r="J627" s="1692"/>
      <c r="K627" s="1692"/>
      <c r="L627" s="1692"/>
      <c r="M627" s="1618" t="s">
        <v>2115</v>
      </c>
      <c r="N627" s="1618"/>
      <c r="O627" s="1618"/>
      <c r="P627" s="1618"/>
      <c r="Q627" s="1425">
        <f>35*12</f>
        <v>420</v>
      </c>
      <c r="R627" s="1425"/>
      <c r="S627" s="1426"/>
      <c r="T627" s="1424">
        <v>420</v>
      </c>
      <c r="U627" s="1425"/>
      <c r="V627" s="1426"/>
      <c r="W627" s="1437">
        <v>5.8500000000000003E-2</v>
      </c>
      <c r="X627" s="1438"/>
      <c r="Y627" s="1439"/>
      <c r="Z627" s="1477" t="s">
        <v>2133</v>
      </c>
      <c r="AA627" s="1478"/>
      <c r="AB627" s="1479"/>
      <c r="AC627" s="1445">
        <v>1</v>
      </c>
      <c r="AD627" s="1446"/>
      <c r="AE627" s="1447"/>
      <c r="AF627" s="1474">
        <v>113365</v>
      </c>
      <c r="AG627" s="1475"/>
      <c r="AH627" s="1475"/>
      <c r="AI627" s="1475"/>
      <c r="AJ627" s="1476"/>
      <c r="AK627" s="1427"/>
      <c r="AL627" s="1428"/>
      <c r="AM627" s="1428"/>
      <c r="AN627" s="1429"/>
      <c r="AO627" s="1480">
        <v>1334703</v>
      </c>
      <c r="AP627" s="1480"/>
      <c r="AQ627" s="1480"/>
      <c r="AR627" s="1480"/>
      <c r="AS627" s="1480"/>
      <c r="AT627" s="3"/>
      <c r="AU627" s="3"/>
      <c r="AZ627" s="3"/>
      <c r="BA627" s="3"/>
      <c r="BB627" s="3"/>
      <c r="BC627" s="3"/>
      <c r="BD627" s="3"/>
    </row>
    <row r="628" spans="2:157" ht="12.95" customHeight="1">
      <c r="B628" s="52" t="s">
        <v>113</v>
      </c>
      <c r="C628" s="1692" t="s">
        <v>2686</v>
      </c>
      <c r="D628" s="1692"/>
      <c r="E628" s="1692"/>
      <c r="F628" s="1692"/>
      <c r="G628" s="1692"/>
      <c r="H628" s="1692"/>
      <c r="I628" s="1692"/>
      <c r="J628" s="1692"/>
      <c r="K628" s="1692"/>
      <c r="L628" s="1692"/>
      <c r="M628" s="1618" t="s">
        <v>2114</v>
      </c>
      <c r="N628" s="1618"/>
      <c r="O628" s="1618"/>
      <c r="P628" s="1618"/>
      <c r="Q628" s="1424"/>
      <c r="R628" s="1425"/>
      <c r="S628" s="1426"/>
      <c r="T628" s="1424"/>
      <c r="U628" s="1425"/>
      <c r="V628" s="1426"/>
      <c r="W628" s="1437"/>
      <c r="X628" s="1438"/>
      <c r="Y628" s="1439"/>
      <c r="Z628" s="1477" t="s">
        <v>1185</v>
      </c>
      <c r="AA628" s="1478"/>
      <c r="AB628" s="1479"/>
      <c r="AC628" s="1445"/>
      <c r="AD628" s="1446"/>
      <c r="AE628" s="1447"/>
      <c r="AF628" s="1474"/>
      <c r="AG628" s="1475"/>
      <c r="AH628" s="1475"/>
      <c r="AI628" s="1475"/>
      <c r="AJ628" s="1476"/>
      <c r="AK628" s="1427"/>
      <c r="AL628" s="1428"/>
      <c r="AM628" s="1428"/>
      <c r="AN628" s="1429"/>
      <c r="AO628" s="1465">
        <v>6425000</v>
      </c>
      <c r="AP628" s="1466"/>
      <c r="AQ628" s="1466"/>
      <c r="AR628" s="1466"/>
      <c r="AS628" s="1467"/>
      <c r="AT628" s="1148" t="str">
        <f>IF(AND(NOT(C627=""),C628="",NOT(C629="")),"!","")</f>
        <v/>
      </c>
      <c r="AU628" s="3"/>
      <c r="AZ628" s="3"/>
      <c r="BA628" s="3"/>
      <c r="BB628" s="3"/>
      <c r="BC628" s="3"/>
      <c r="BD628" s="3"/>
    </row>
    <row r="629" spans="2:157" ht="12.95" customHeight="1">
      <c r="B629" s="52" t="s">
        <v>119</v>
      </c>
      <c r="C629" s="1692" t="s">
        <v>2711</v>
      </c>
      <c r="D629" s="1692"/>
      <c r="E629" s="1692"/>
      <c r="F629" s="1692"/>
      <c r="G629" s="1692"/>
      <c r="H629" s="1692"/>
      <c r="I629" s="1692"/>
      <c r="J629" s="1692"/>
      <c r="K629" s="1692"/>
      <c r="L629" s="1692"/>
      <c r="M629" s="1618" t="s">
        <v>2115</v>
      </c>
      <c r="N629" s="1618"/>
      <c r="O629" s="1618"/>
      <c r="P629" s="1618"/>
      <c r="Q629" s="1424"/>
      <c r="R629" s="1425"/>
      <c r="S629" s="1426"/>
      <c r="T629" s="1424"/>
      <c r="U629" s="1425"/>
      <c r="V629" s="1426"/>
      <c r="W629" s="1437"/>
      <c r="X629" s="1438"/>
      <c r="Y629" s="1439"/>
      <c r="Z629" s="1477" t="s">
        <v>1185</v>
      </c>
      <c r="AA629" s="1478"/>
      <c r="AB629" s="1479"/>
      <c r="AC629" s="1445"/>
      <c r="AD629" s="1446"/>
      <c r="AE629" s="1447"/>
      <c r="AF629" s="1474"/>
      <c r="AG629" s="1475"/>
      <c r="AH629" s="1475"/>
      <c r="AI629" s="1475"/>
      <c r="AJ629" s="1476"/>
      <c r="AK629" s="1427"/>
      <c r="AL629" s="1428"/>
      <c r="AM629" s="1428"/>
      <c r="AN629" s="1429"/>
      <c r="AO629" s="1465">
        <v>1203191</v>
      </c>
      <c r="AP629" s="1466"/>
      <c r="AQ629" s="1466"/>
      <c r="AR629" s="1466"/>
      <c r="AS629" s="1467"/>
      <c r="AT629" s="1148" t="str">
        <f t="shared" ref="AT629:AT638" si="1">IF(AND(NOT(C628=""),C629="",NOT(C630="")),"!","")</f>
        <v/>
      </c>
      <c r="AU629" s="3"/>
      <c r="AZ629" s="3"/>
      <c r="BA629" s="3"/>
      <c r="BB629" s="3"/>
      <c r="BC629" s="3"/>
      <c r="BD629" s="3"/>
    </row>
    <row r="630" spans="2:157" ht="12.95" customHeight="1">
      <c r="B630" s="52" t="s">
        <v>582</v>
      </c>
      <c r="C630" s="1692"/>
      <c r="D630" s="1347"/>
      <c r="E630" s="1347"/>
      <c r="F630" s="1347"/>
      <c r="G630" s="1347"/>
      <c r="H630" s="1347"/>
      <c r="I630" s="1347"/>
      <c r="J630" s="1347"/>
      <c r="K630" s="1347"/>
      <c r="L630" s="1347"/>
      <c r="M630" s="1618"/>
      <c r="N630" s="1618"/>
      <c r="O630" s="1618"/>
      <c r="P630" s="1618"/>
      <c r="Q630" s="1424"/>
      <c r="R630" s="1425"/>
      <c r="S630" s="1426"/>
      <c r="T630" s="1424"/>
      <c r="U630" s="1425"/>
      <c r="V630" s="1426"/>
      <c r="W630" s="1437"/>
      <c r="X630" s="1438"/>
      <c r="Y630" s="1439"/>
      <c r="Z630" s="1477" t="s">
        <v>1185</v>
      </c>
      <c r="AA630" s="1478"/>
      <c r="AB630" s="1479"/>
      <c r="AC630" s="1445"/>
      <c r="AD630" s="1446"/>
      <c r="AE630" s="1447"/>
      <c r="AF630" s="1474"/>
      <c r="AG630" s="1475"/>
      <c r="AH630" s="1475"/>
      <c r="AI630" s="1475"/>
      <c r="AJ630" s="1476"/>
      <c r="AK630" s="1427"/>
      <c r="AL630" s="1428"/>
      <c r="AM630" s="1428"/>
      <c r="AN630" s="1429"/>
      <c r="AO630" s="1465"/>
      <c r="AP630" s="1466"/>
      <c r="AQ630" s="1466"/>
      <c r="AR630" s="1466"/>
      <c r="AS630" s="1467"/>
      <c r="AT630" s="1148" t="str">
        <f t="shared" si="1"/>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618" t="s">
        <v>1185</v>
      </c>
      <c r="N631" s="1618"/>
      <c r="O631" s="1618"/>
      <c r="P631" s="1618"/>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8" t="s">
        <v>1185</v>
      </c>
      <c r="N632" s="1618"/>
      <c r="O632" s="1618"/>
      <c r="P632" s="1618"/>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8" t="s">
        <v>1185</v>
      </c>
      <c r="N633" s="1618"/>
      <c r="O633" s="1618"/>
      <c r="P633" s="1618"/>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8" t="s">
        <v>1185</v>
      </c>
      <c r="N634" s="1618"/>
      <c r="O634" s="1618"/>
      <c r="P634" s="1618"/>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8" t="s">
        <v>1185</v>
      </c>
      <c r="N635" s="1618"/>
      <c r="O635" s="1618"/>
      <c r="P635" s="1618"/>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2">EZ718*(CP718/$CP$753)</f>
        <v>152.5</v>
      </c>
      <c r="DY635" s="1444"/>
      <c r="DZ635" s="1444"/>
      <c r="EA635" s="1444"/>
      <c r="EB635" s="1444"/>
      <c r="EC635" s="1444" t="e">
        <f t="shared" ref="EC635:EC669" si="3">FE718*(CU718/$CU$753)</f>
        <v>#VALUE!</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8" t="s">
        <v>1185</v>
      </c>
      <c r="N636" s="1618"/>
      <c r="O636" s="1618"/>
      <c r="P636" s="1618"/>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f t="shared" si="2"/>
        <v>519</v>
      </c>
      <c r="DY636" s="1444"/>
      <c r="DZ636" s="1444"/>
      <c r="EA636" s="1444"/>
      <c r="EB636" s="1444"/>
      <c r="EC636" s="1444" t="e">
        <f t="shared" si="3"/>
        <v>#VALUE!</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8" t="s">
        <v>1185</v>
      </c>
      <c r="N637" s="1618"/>
      <c r="O637" s="1618"/>
      <c r="P637" s="1618"/>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1112</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8" t="s">
        <v>1185</v>
      </c>
      <c r="N638" s="1618"/>
      <c r="O638" s="1618"/>
      <c r="P638" s="1618"/>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t="e">
        <f t="shared" si="3"/>
        <v>#VALUE!</v>
      </c>
      <c r="ED638" s="1444"/>
      <c r="EE638" s="1444"/>
      <c r="EF638" s="1444"/>
      <c r="EG638" s="1444"/>
      <c r="EH638" s="1444">
        <f t="shared" si="4"/>
        <v>1335</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5">
        <f>SUM(AO627:AR638)</f>
        <v>8962894</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f t="shared" si="6"/>
        <v>1720</v>
      </c>
      <c r="ES639" s="1444"/>
      <c r="ET639" s="1444"/>
      <c r="EU639" s="1444"/>
      <c r="EV639" s="1444"/>
      <c r="EW639" s="1444" t="e">
        <f t="shared" si="7"/>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f>6681358+3570000</f>
        <v>10251358</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5">
        <f>AO639+AO640</f>
        <v>19214252</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464</v>
      </c>
      <c r="G643" s="1358" t="str">
        <f>C627</f>
        <v>Citi Bank Perm Loan</v>
      </c>
      <c r="H643" s="1358"/>
      <c r="I643" s="1358"/>
      <c r="J643" s="1358"/>
      <c r="K643" s="1358"/>
      <c r="L643" s="1358"/>
      <c r="M643" s="1358"/>
      <c r="N643" s="1358"/>
      <c r="O643" s="1358"/>
      <c r="P643" s="1358"/>
      <c r="Q643" s="1358"/>
      <c r="R643" s="1358"/>
      <c r="S643" s="8"/>
      <c r="T643" s="55" t="s">
        <v>113</v>
      </c>
      <c r="U643" t="s">
        <v>464</v>
      </c>
      <c r="Z643" s="1358" t="str">
        <f>C628</f>
        <v xml:space="preserve">Homekey </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2712</v>
      </c>
      <c r="H644" s="1371"/>
      <c r="I644" s="1371"/>
      <c r="J644" s="1371"/>
      <c r="K644" s="1371"/>
      <c r="L644" s="1371"/>
      <c r="M644" s="1371"/>
      <c r="N644" s="1371"/>
      <c r="O644" s="1371"/>
      <c r="P644" s="1371"/>
      <c r="Q644" s="1371"/>
      <c r="R644" s="1371"/>
      <c r="S644" s="8"/>
      <c r="T644" s="22"/>
      <c r="U644" t="s">
        <v>85</v>
      </c>
      <c r="Z644" s="1371" t="s">
        <v>2717</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581</v>
      </c>
      <c r="G645" s="1371" t="s">
        <v>2713</v>
      </c>
      <c r="H645" s="1371"/>
      <c r="I645" s="1371"/>
      <c r="J645" s="1371"/>
      <c r="K645" s="1371"/>
      <c r="L645" s="1371"/>
      <c r="M645" s="1371"/>
      <c r="N645" s="1371"/>
      <c r="O645" s="1371"/>
      <c r="P645" s="1371"/>
      <c r="Q645" s="1371"/>
      <c r="R645" s="1371"/>
      <c r="T645" s="22"/>
      <c r="U645" t="s">
        <v>581</v>
      </c>
      <c r="Z645" s="1348" t="s">
        <v>2718</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2714</v>
      </c>
      <c r="H646" s="1371"/>
      <c r="I646" s="1371"/>
      <c r="J646" s="1371"/>
      <c r="K646" s="1371"/>
      <c r="L646" s="1371"/>
      <c r="M646" s="1371"/>
      <c r="N646" s="1371"/>
      <c r="O646" s="1371"/>
      <c r="P646" s="1371"/>
      <c r="Q646" s="1371"/>
      <c r="R646" s="1371"/>
      <c r="S646" s="8"/>
      <c r="T646" s="22"/>
      <c r="U646" t="s">
        <v>17</v>
      </c>
      <c r="Z646" s="1348" t="s">
        <v>2719</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316</v>
      </c>
      <c r="G647" s="1346" t="s">
        <v>2715</v>
      </c>
      <c r="H647" s="1346"/>
      <c r="I647" s="1346"/>
      <c r="J647" s="1346"/>
      <c r="K647" s="1346"/>
      <c r="L647" s="1346"/>
      <c r="O647" s="33" t="s">
        <v>206</v>
      </c>
      <c r="P647" s="1436"/>
      <c r="Q647" s="1436"/>
      <c r="R647" s="1436"/>
      <c r="S647" s="10"/>
      <c r="T647" s="22"/>
      <c r="U647" t="s">
        <v>316</v>
      </c>
      <c r="Z647" s="1346">
        <v>9162632771</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2723</v>
      </c>
      <c r="I648" s="1371"/>
      <c r="J648" s="1371"/>
      <c r="K648" s="1371"/>
      <c r="L648" s="1371"/>
      <c r="M648" s="1371"/>
      <c r="N648" s="1371"/>
      <c r="O648" s="1371"/>
      <c r="P648" s="1371"/>
      <c r="Q648" s="1371"/>
      <c r="R648" s="1371"/>
      <c r="S648" s="8"/>
      <c r="T648" s="22"/>
      <c r="U648" t="s">
        <v>18</v>
      </c>
      <c r="AA648" s="1371" t="s">
        <v>2720</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464</v>
      </c>
      <c r="G651" s="1358" t="str">
        <f>C629</f>
        <v>Perm Soft Debt</v>
      </c>
      <c r="H651" s="1358"/>
      <c r="I651" s="1358"/>
      <c r="J651" s="1358"/>
      <c r="K651" s="1358"/>
      <c r="L651" s="1358"/>
      <c r="M651" s="1358"/>
      <c r="N651" s="1358"/>
      <c r="O651" s="1358"/>
      <c r="P651" s="1358"/>
      <c r="Q651" s="1358"/>
      <c r="R651" s="1358"/>
      <c r="T651" s="55" t="s">
        <v>582</v>
      </c>
      <c r="U651" t="s">
        <v>464</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581</v>
      </c>
      <c r="G653" s="1348"/>
      <c r="H653" s="1348"/>
      <c r="I653" s="1348"/>
      <c r="J653" s="1348"/>
      <c r="K653" s="1348"/>
      <c r="L653" s="1348"/>
      <c r="M653" s="1348"/>
      <c r="N653" s="1348"/>
      <c r="O653" s="1348"/>
      <c r="P653" s="1348"/>
      <c r="Q653" s="1348"/>
      <c r="R653" s="1348"/>
      <c r="T653" s="22"/>
      <c r="U653" t="s">
        <v>581</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316</v>
      </c>
      <c r="G655" s="1346"/>
      <c r="H655" s="1346"/>
      <c r="I655" s="1346"/>
      <c r="J655" s="1346"/>
      <c r="K655" s="1346"/>
      <c r="L655" s="1346"/>
      <c r="O655" s="33" t="s">
        <v>206</v>
      </c>
      <c r="P655" s="1436"/>
      <c r="Q655" s="1436"/>
      <c r="R655" s="1436"/>
      <c r="T655" s="22"/>
      <c r="U655" t="s">
        <v>316</v>
      </c>
      <c r="Z655" s="1346"/>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670</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316</v>
      </c>
      <c r="G663" s="1346"/>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671.5</v>
      </c>
      <c r="DY670" s="1444"/>
      <c r="DZ670" s="1444"/>
      <c r="EA670" s="1444"/>
      <c r="EB670" s="1444"/>
      <c r="EC670" s="1444">
        <f>SUMIF(EC635:EG669,"&gt;0")</f>
        <v>1112</v>
      </c>
      <c r="ED670" s="1444"/>
      <c r="EE670" s="1444"/>
      <c r="EF670" s="1444"/>
      <c r="EG670" s="1444"/>
      <c r="EH670" s="1444">
        <f>SUMIF(EH635:EL669,"&gt;0")</f>
        <v>1335</v>
      </c>
      <c r="EI670" s="1444"/>
      <c r="EJ670" s="1444"/>
      <c r="EK670" s="1444"/>
      <c r="EL670" s="1444"/>
      <c r="EM670" s="1444">
        <f>SUMIF(EM635:EQ669,"&gt;0")</f>
        <v>0</v>
      </c>
      <c r="EN670" s="1444"/>
      <c r="EO670" s="1444"/>
      <c r="EP670" s="1444"/>
      <c r="EQ670" s="1444"/>
      <c r="ER670" s="1444">
        <f>SUMIF(ER635:EV669,"&gt;0")</f>
        <v>1720</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1">
        <v>45797</v>
      </c>
      <c r="AF695" s="1691"/>
      <c r="AG695" s="1691"/>
      <c r="AH695" s="1691"/>
      <c r="AI695" s="1691"/>
    </row>
    <row r="696" spans="1:67" ht="12.95" customHeight="1">
      <c r="B696" s="135"/>
      <c r="C696" s="135"/>
      <c r="D696" s="317" t="s">
        <v>984</v>
      </c>
      <c r="E696" s="135"/>
      <c r="F696" s="135"/>
      <c r="G696" s="135"/>
      <c r="H696" s="135"/>
      <c r="AE696" s="1702">
        <v>45867</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1">
        <v>46051</v>
      </c>
      <c r="AF698" s="1691"/>
      <c r="AG698" s="1691"/>
      <c r="AH698" s="1691"/>
      <c r="AI698" s="1691"/>
    </row>
    <row r="699" spans="1:67" ht="12.95" customHeight="1">
      <c r="B699" s="135"/>
      <c r="C699" s="135"/>
      <c r="D699" s="136" t="s">
        <v>436</v>
      </c>
      <c r="E699" s="135"/>
      <c r="F699" s="135"/>
      <c r="G699" s="135"/>
      <c r="H699" s="135"/>
      <c r="AE699" s="1661">
        <v>0.54</v>
      </c>
      <c r="AF699" s="1661"/>
      <c r="AG699" s="1661"/>
      <c r="AH699" s="1661"/>
      <c r="AI699" s="1661"/>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9" t="s">
        <v>1680</v>
      </c>
      <c r="L714" s="1720"/>
      <c r="M714" s="1720"/>
      <c r="N714" s="1721"/>
      <c r="O714" s="1362" t="s">
        <v>448</v>
      </c>
      <c r="P714" s="1363"/>
      <c r="Q714" s="1363"/>
      <c r="R714" s="1363"/>
      <c r="S714" s="1364"/>
      <c r="T714" s="1659" t="s">
        <v>1951</v>
      </c>
      <c r="U714" s="1363"/>
      <c r="V714" s="1363"/>
      <c r="W714" s="1364"/>
      <c r="X714" s="1659" t="s">
        <v>1953</v>
      </c>
      <c r="Y714" s="1363"/>
      <c r="Z714" s="1363"/>
      <c r="AA714" s="1363"/>
      <c r="AB714" s="1364"/>
      <c r="AC714" s="1659" t="s">
        <v>1952</v>
      </c>
      <c r="AD714" s="1363"/>
      <c r="AE714" s="1363"/>
      <c r="AF714" s="1363"/>
      <c r="AG714" s="1364"/>
      <c r="AH714" s="1659" t="s">
        <v>1954</v>
      </c>
      <c r="AI714" s="1363"/>
      <c r="AJ714" s="1364"/>
      <c r="AK714" s="1659"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t="s">
        <v>324</v>
      </c>
      <c r="C718" s="1338"/>
      <c r="D718" s="1338"/>
      <c r="E718" s="1338"/>
      <c r="F718" s="1339"/>
      <c r="G718" s="1349">
        <v>4</v>
      </c>
      <c r="H718" s="1350"/>
      <c r="I718" s="1350"/>
      <c r="J718" s="1351"/>
      <c r="K718" s="1343">
        <v>349</v>
      </c>
      <c r="L718" s="1344"/>
      <c r="M718" s="1344"/>
      <c r="N718" s="1345"/>
      <c r="O718" s="1340">
        <v>305</v>
      </c>
      <c r="P718" s="1341"/>
      <c r="Q718" s="1341"/>
      <c r="R718" s="1341"/>
      <c r="S718" s="1342"/>
      <c r="T718" s="1340"/>
      <c r="U718" s="1341"/>
      <c r="V718" s="1341"/>
      <c r="W718" s="1342"/>
      <c r="X718" s="1352">
        <f t="shared" ref="X718:X741" si="8">O718+T718</f>
        <v>305</v>
      </c>
      <c r="Y718" s="1353"/>
      <c r="Z718" s="1353"/>
      <c r="AA718" s="1353"/>
      <c r="AB718" s="1354"/>
      <c r="AC718" s="1359">
        <v>0.3</v>
      </c>
      <c r="AD718" s="1360"/>
      <c r="AE718" s="1360"/>
      <c r="AF718" s="1360"/>
      <c r="AG718" s="1361"/>
      <c r="AH718" s="1355">
        <f>IF($AC718&gt;0,($X718/$AZ718), "")</f>
        <v>8.8099364529173885E-2</v>
      </c>
      <c r="AI718" s="1356"/>
      <c r="AJ718" s="1357"/>
      <c r="AK718" s="1337" t="s">
        <v>2710</v>
      </c>
      <c r="AL718" s="1338"/>
      <c r="AM718" s="1338"/>
      <c r="AN718" s="1338"/>
      <c r="AO718" s="1339"/>
      <c r="AP718" s="3"/>
      <c r="AQ718" s="3"/>
      <c r="AR718" s="3"/>
      <c r="AS718" s="3"/>
      <c r="AZ718" s="118">
        <f t="shared" ref="AZ718:AZ752" si="9">IF($G718=0,"N/A",VLOOKUP($T$189,TC_Rent,(MATCH($B718,bedrooms,FALSE)),FALSE))</f>
        <v>3462</v>
      </c>
      <c r="BA718" s="3"/>
      <c r="BB718" s="3"/>
      <c r="BC718" s="3"/>
      <c r="BD718" s="3"/>
      <c r="BE718" s="204"/>
      <c r="BF718" s="293">
        <f t="shared" ref="BF718:BF752" si="10">G718</f>
        <v>4</v>
      </c>
      <c r="BG718" s="297">
        <f t="shared" ref="BG718:BG752" si="11">IF($BF$753=0,0,BF718/$BF$753)</f>
        <v>0.2</v>
      </c>
      <c r="BH718" s="298">
        <f t="shared" ref="BH718:BH752" si="12">IF(BG718=0,"",BG718*AC718)</f>
        <v>0.06</v>
      </c>
      <c r="BI718" s="3"/>
      <c r="BJ718" s="3"/>
      <c r="BK718" s="3"/>
      <c r="BL718" s="3"/>
      <c r="BM718" s="3"/>
      <c r="BN718" s="3"/>
      <c r="BS718" s="293">
        <f t="shared" ref="BS718:BS752" si="13">G718</f>
        <v>4</v>
      </c>
      <c r="BT718" s="297">
        <f t="shared" ref="BT718:BT752" si="14">IF($BS$753=0,0,BS718/$BS$753)</f>
        <v>0.2</v>
      </c>
      <c r="BU718" s="298">
        <f t="shared" ref="BU718:BU752" si="15">IF(BT718=0,"",BT718*AH718)</f>
        <v>1.7619872905834777E-2</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4</v>
      </c>
      <c r="CN718" s="1469"/>
      <c r="CO718" s="3"/>
      <c r="CP718" s="1457">
        <f t="shared" ref="CP718:CP752" si="18">IF(B718="SRO/Studio",G718,0)</f>
        <v>4</v>
      </c>
      <c r="CQ718" s="1458"/>
      <c r="CR718" s="1458"/>
      <c r="CS718" s="1458"/>
      <c r="CT718" s="1459"/>
      <c r="CU718" s="1442">
        <f t="shared" ref="CU718:CU752" si="19">IF(B718="1 Bedroom",G718,0)</f>
        <v>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4</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f t="shared" ref="EZ718:EZ752" si="30">IF(CP718&gt;0,O718,"")</f>
        <v>305</v>
      </c>
      <c r="FA718" s="1464"/>
      <c r="FB718" s="1464"/>
      <c r="FC718" s="1464"/>
      <c r="FD718" s="1463"/>
      <c r="FE718" s="1462" t="str">
        <f t="shared" ref="FE718:FE752" si="31">IF(CU718&gt;0,O718,"")</f>
        <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324</v>
      </c>
      <c r="C719" s="1338"/>
      <c r="D719" s="1338"/>
      <c r="E719" s="1338"/>
      <c r="F719" s="1339"/>
      <c r="G719" s="1349">
        <v>4</v>
      </c>
      <c r="H719" s="1350"/>
      <c r="I719" s="1350"/>
      <c r="J719" s="1351"/>
      <c r="K719" s="1343">
        <v>349</v>
      </c>
      <c r="L719" s="1344"/>
      <c r="M719" s="1344"/>
      <c r="N719" s="1345"/>
      <c r="O719" s="1340">
        <v>1038</v>
      </c>
      <c r="P719" s="1341"/>
      <c r="Q719" s="1341"/>
      <c r="R719" s="1341"/>
      <c r="S719" s="1342"/>
      <c r="T719" s="1340"/>
      <c r="U719" s="1341"/>
      <c r="V719" s="1341"/>
      <c r="W719" s="1342"/>
      <c r="X719" s="1352">
        <f t="shared" si="8"/>
        <v>1038</v>
      </c>
      <c r="Y719" s="1353"/>
      <c r="Z719" s="1353"/>
      <c r="AA719" s="1353"/>
      <c r="AB719" s="1354"/>
      <c r="AC719" s="1359">
        <v>0.3</v>
      </c>
      <c r="AD719" s="1360"/>
      <c r="AE719" s="1360"/>
      <c r="AF719" s="1360"/>
      <c r="AG719" s="1361"/>
      <c r="AH719" s="1355">
        <f t="shared" ref="AH719:AH752" si="36">IF($AC719&gt;0,($X719/$AZ719), "")</f>
        <v>0.29982668977469673</v>
      </c>
      <c r="AI719" s="1356"/>
      <c r="AJ719" s="1357"/>
      <c r="AK719" s="1337" t="s">
        <v>2710</v>
      </c>
      <c r="AL719" s="1338"/>
      <c r="AM719" s="1338"/>
      <c r="AN719" s="1338"/>
      <c r="AO719" s="1339"/>
      <c r="AP719" s="3"/>
      <c r="AQ719" s="3"/>
      <c r="AR719" s="3"/>
      <c r="AS719" s="3"/>
      <c r="AZ719" s="118">
        <f t="shared" si="9"/>
        <v>3462</v>
      </c>
      <c r="BA719" s="3"/>
      <c r="BB719" s="3"/>
      <c r="BC719" s="3"/>
      <c r="BD719" s="3"/>
      <c r="BE719" s="204"/>
      <c r="BF719" s="294">
        <f t="shared" si="10"/>
        <v>4</v>
      </c>
      <c r="BG719" s="297">
        <f t="shared" si="11"/>
        <v>0.2</v>
      </c>
      <c r="BH719" s="298">
        <f t="shared" si="12"/>
        <v>0.06</v>
      </c>
      <c r="BI719" s="3"/>
      <c r="BJ719" s="3"/>
      <c r="BK719" s="3"/>
      <c r="BL719" s="3"/>
      <c r="BM719" s="3"/>
      <c r="BN719" s="3"/>
      <c r="BS719" s="294">
        <f t="shared" si="13"/>
        <v>4</v>
      </c>
      <c r="BT719" s="297">
        <f t="shared" si="14"/>
        <v>0.2</v>
      </c>
      <c r="BU719" s="298">
        <f t="shared" si="15"/>
        <v>5.996533795493935E-2</v>
      </c>
      <c r="CC719" s="3"/>
      <c r="CD719" s="3"/>
      <c r="CE719" s="3"/>
      <c r="CF719" s="3"/>
      <c r="CG719" s="1462">
        <f t="shared" ref="CG719:CG752" si="37">IF(AND(AC719&lt;=0.5,AC719&gt;=0.36),1,0)</f>
        <v>0</v>
      </c>
      <c r="CH719" s="1463"/>
      <c r="CI719" s="1468">
        <f t="shared" ref="CI719:CI752" si="38">IF(CG719=1,G719,0)</f>
        <v>0</v>
      </c>
      <c r="CJ719" s="1469"/>
      <c r="CK719" s="1462">
        <f t="shared" si="16"/>
        <v>1</v>
      </c>
      <c r="CL719" s="1463"/>
      <c r="CM719" s="1468">
        <f t="shared" si="17"/>
        <v>4</v>
      </c>
      <c r="CN719" s="1469"/>
      <c r="CO719" s="3"/>
      <c r="CP719" s="1457">
        <f t="shared" si="18"/>
        <v>4</v>
      </c>
      <c r="CQ719" s="1458"/>
      <c r="CR719" s="1458"/>
      <c r="CS719" s="1458"/>
      <c r="CT719" s="1459"/>
      <c r="CU719" s="1442">
        <f t="shared" si="19"/>
        <v>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4</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f t="shared" si="30"/>
        <v>1038</v>
      </c>
      <c r="FA719" s="1464"/>
      <c r="FB719" s="1464"/>
      <c r="FC719" s="1464"/>
      <c r="FD719" s="1463"/>
      <c r="FE719" s="1462" t="str">
        <f t="shared" si="31"/>
        <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t="s">
        <v>325</v>
      </c>
      <c r="C720" s="1338"/>
      <c r="D720" s="1338"/>
      <c r="E720" s="1338"/>
      <c r="F720" s="1339"/>
      <c r="G720" s="1349">
        <v>10</v>
      </c>
      <c r="H720" s="1350"/>
      <c r="I720" s="1350"/>
      <c r="J720" s="1351"/>
      <c r="K720" s="1343">
        <v>452</v>
      </c>
      <c r="L720" s="1344"/>
      <c r="M720" s="1344"/>
      <c r="N720" s="1345"/>
      <c r="O720" s="1340">
        <v>1112</v>
      </c>
      <c r="P720" s="1341"/>
      <c r="Q720" s="1341"/>
      <c r="R720" s="1341"/>
      <c r="S720" s="1342"/>
      <c r="T720" s="1340"/>
      <c r="U720" s="1341"/>
      <c r="V720" s="1341"/>
      <c r="W720" s="1342"/>
      <c r="X720" s="1352">
        <f t="shared" si="8"/>
        <v>1112</v>
      </c>
      <c r="Y720" s="1353"/>
      <c r="Z720" s="1353"/>
      <c r="AA720" s="1353"/>
      <c r="AB720" s="1354"/>
      <c r="AC720" s="1359">
        <v>0.3</v>
      </c>
      <c r="AD720" s="1360"/>
      <c r="AE720" s="1360"/>
      <c r="AF720" s="1360"/>
      <c r="AG720" s="1361"/>
      <c r="AH720" s="1355">
        <f t="shared" si="36"/>
        <v>0.29989212513484359</v>
      </c>
      <c r="AI720" s="1356"/>
      <c r="AJ720" s="1357"/>
      <c r="AK720" s="1337" t="s">
        <v>2710</v>
      </c>
      <c r="AL720" s="1338"/>
      <c r="AM720" s="1338"/>
      <c r="AN720" s="1338"/>
      <c r="AO720" s="1339"/>
      <c r="AP720" s="3"/>
      <c r="AQ720" s="3"/>
      <c r="AR720" s="3"/>
      <c r="AS720" s="3"/>
      <c r="AZ720" s="118">
        <f t="shared" si="9"/>
        <v>3708</v>
      </c>
      <c r="BA720" s="3"/>
      <c r="BB720" s="3"/>
      <c r="BC720" s="3"/>
      <c r="BD720" s="3"/>
      <c r="BE720" s="204"/>
      <c r="BF720" s="294">
        <f t="shared" si="10"/>
        <v>10</v>
      </c>
      <c r="BG720" s="297">
        <f t="shared" si="11"/>
        <v>0.5</v>
      </c>
      <c r="BH720" s="298">
        <f t="shared" si="12"/>
        <v>0.15</v>
      </c>
      <c r="BI720" s="3"/>
      <c r="BJ720" s="3"/>
      <c r="BK720" s="3"/>
      <c r="BL720" s="3"/>
      <c r="BM720" s="3"/>
      <c r="BN720" s="3"/>
      <c r="BS720" s="294">
        <f t="shared" si="13"/>
        <v>10</v>
      </c>
      <c r="BT720" s="297">
        <f t="shared" si="14"/>
        <v>0.5</v>
      </c>
      <c r="BU720" s="298">
        <f t="shared" si="15"/>
        <v>0.1499460625674218</v>
      </c>
      <c r="CC720" s="3"/>
      <c r="CD720" s="3"/>
      <c r="CE720" s="3"/>
      <c r="CF720" s="3"/>
      <c r="CG720" s="1462">
        <f t="shared" si="37"/>
        <v>0</v>
      </c>
      <c r="CH720" s="1463"/>
      <c r="CI720" s="1468">
        <f t="shared" si="38"/>
        <v>0</v>
      </c>
      <c r="CJ720" s="1469"/>
      <c r="CK720" s="1462">
        <f t="shared" si="16"/>
        <v>1</v>
      </c>
      <c r="CL720" s="1463"/>
      <c r="CM720" s="1468">
        <f t="shared" si="17"/>
        <v>10</v>
      </c>
      <c r="CN720" s="1469"/>
      <c r="CO720" s="3"/>
      <c r="CP720" s="1457">
        <f t="shared" si="18"/>
        <v>0</v>
      </c>
      <c r="CQ720" s="1458"/>
      <c r="CR720" s="1458"/>
      <c r="CS720" s="1458"/>
      <c r="CT720" s="1459"/>
      <c r="CU720" s="1442">
        <f t="shared" si="19"/>
        <v>10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10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f t="shared" si="31"/>
        <v>1112</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t="s">
        <v>163</v>
      </c>
      <c r="C721" s="1338"/>
      <c r="D721" s="1338"/>
      <c r="E721" s="1338"/>
      <c r="F721" s="1339"/>
      <c r="G721" s="1349">
        <v>1</v>
      </c>
      <c r="H721" s="1350"/>
      <c r="I721" s="1350"/>
      <c r="J721" s="1351"/>
      <c r="K721" s="1343">
        <v>704</v>
      </c>
      <c r="L721" s="1344"/>
      <c r="M721" s="1344"/>
      <c r="N721" s="1345"/>
      <c r="O721" s="1340">
        <v>1335</v>
      </c>
      <c r="P721" s="1341"/>
      <c r="Q721" s="1341"/>
      <c r="R721" s="1341"/>
      <c r="S721" s="1342"/>
      <c r="T721" s="1340"/>
      <c r="U721" s="1341"/>
      <c r="V721" s="1341"/>
      <c r="W721" s="1342"/>
      <c r="X721" s="1352">
        <f t="shared" si="8"/>
        <v>1335</v>
      </c>
      <c r="Y721" s="1353"/>
      <c r="Z721" s="1353"/>
      <c r="AA721" s="1353"/>
      <c r="AB721" s="1354"/>
      <c r="AC721" s="1359">
        <v>0.3</v>
      </c>
      <c r="AD721" s="1360"/>
      <c r="AE721" s="1360"/>
      <c r="AF721" s="1360"/>
      <c r="AG721" s="1361"/>
      <c r="AH721" s="1355">
        <f t="shared" si="36"/>
        <v>0.3</v>
      </c>
      <c r="AI721" s="1356"/>
      <c r="AJ721" s="1357"/>
      <c r="AK721" s="1337" t="s">
        <v>2710</v>
      </c>
      <c r="AL721" s="1338"/>
      <c r="AM721" s="1338"/>
      <c r="AN721" s="1338"/>
      <c r="AO721" s="1339"/>
      <c r="AP721" s="3"/>
      <c r="AQ721" s="3"/>
      <c r="AR721" s="3"/>
      <c r="AS721" s="3"/>
      <c r="AY721" s="116"/>
      <c r="AZ721" s="118">
        <f t="shared" si="9"/>
        <v>4450</v>
      </c>
      <c r="BA721" s="3"/>
      <c r="BB721" s="3"/>
      <c r="BC721" s="3"/>
      <c r="BD721" s="3"/>
      <c r="BE721" s="204"/>
      <c r="BF721" s="294">
        <f t="shared" si="10"/>
        <v>1</v>
      </c>
      <c r="BG721" s="297">
        <f t="shared" si="11"/>
        <v>0.05</v>
      </c>
      <c r="BH721" s="298">
        <f t="shared" si="12"/>
        <v>1.4999999999999999E-2</v>
      </c>
      <c r="BI721" s="3"/>
      <c r="BJ721" s="3"/>
      <c r="BK721" s="3"/>
      <c r="BL721" s="3"/>
      <c r="BM721" s="3"/>
      <c r="BN721" s="3"/>
      <c r="BS721" s="294">
        <f t="shared" si="13"/>
        <v>1</v>
      </c>
      <c r="BT721" s="297">
        <f t="shared" si="14"/>
        <v>0.05</v>
      </c>
      <c r="BU721" s="298">
        <f t="shared" si="15"/>
        <v>1.4999999999999999E-2</v>
      </c>
      <c r="CC721" s="3"/>
      <c r="CD721" s="3"/>
      <c r="CE721" s="3"/>
      <c r="CF721" s="3"/>
      <c r="CG721" s="1462">
        <f t="shared" si="37"/>
        <v>0</v>
      </c>
      <c r="CH721" s="1463"/>
      <c r="CI721" s="1468">
        <f t="shared" si="38"/>
        <v>0</v>
      </c>
      <c r="CJ721" s="1469"/>
      <c r="CK721" s="1462">
        <f t="shared" si="16"/>
        <v>1</v>
      </c>
      <c r="CL721" s="1463"/>
      <c r="CM721" s="1468">
        <f t="shared" si="17"/>
        <v>1</v>
      </c>
      <c r="CN721" s="1469"/>
      <c r="CO721" s="3"/>
      <c r="CP721" s="1457">
        <f t="shared" si="18"/>
        <v>0</v>
      </c>
      <c r="CQ721" s="1458"/>
      <c r="CR721" s="1458"/>
      <c r="CS721" s="1458"/>
      <c r="CT721" s="1459"/>
      <c r="CU721" s="1442">
        <f t="shared" si="19"/>
        <v>0</v>
      </c>
      <c r="CV721" s="1442"/>
      <c r="CW721" s="1442"/>
      <c r="CX721" s="1442"/>
      <c r="CY721" s="1442"/>
      <c r="CZ721" s="1442">
        <f t="shared" si="20"/>
        <v>1</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1</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t="str">
        <f t="shared" si="31"/>
        <v/>
      </c>
      <c r="FF721" s="1464"/>
      <c r="FG721" s="1464"/>
      <c r="FH721" s="1464"/>
      <c r="FI721" s="1463"/>
      <c r="FJ721" s="1462">
        <f t="shared" si="32"/>
        <v>1335</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t="s">
        <v>165</v>
      </c>
      <c r="C722" s="1338"/>
      <c r="D722" s="1338"/>
      <c r="E722" s="1338"/>
      <c r="F722" s="1339"/>
      <c r="G722" s="1349">
        <v>1</v>
      </c>
      <c r="H722" s="1350"/>
      <c r="I722" s="1350"/>
      <c r="J722" s="1351"/>
      <c r="K722" s="1343">
        <v>1626</v>
      </c>
      <c r="L722" s="1344"/>
      <c r="M722" s="1344"/>
      <c r="N722" s="1345"/>
      <c r="O722" s="1340">
        <v>1720</v>
      </c>
      <c r="P722" s="1341"/>
      <c r="Q722" s="1341"/>
      <c r="R722" s="1341"/>
      <c r="S722" s="1342"/>
      <c r="T722" s="1340"/>
      <c r="U722" s="1341"/>
      <c r="V722" s="1341"/>
      <c r="W722" s="1342"/>
      <c r="X722" s="1352">
        <f t="shared" si="8"/>
        <v>1720</v>
      </c>
      <c r="Y722" s="1353"/>
      <c r="Z722" s="1353"/>
      <c r="AA722" s="1353"/>
      <c r="AB722" s="1354"/>
      <c r="AC722" s="1359">
        <v>0.3</v>
      </c>
      <c r="AD722" s="1360"/>
      <c r="AE722" s="1360"/>
      <c r="AF722" s="1360"/>
      <c r="AG722" s="1361"/>
      <c r="AH722" s="1355">
        <f t="shared" si="36"/>
        <v>0.29996512033484479</v>
      </c>
      <c r="AI722" s="1356"/>
      <c r="AJ722" s="1357"/>
      <c r="AK722" s="1337" t="s">
        <v>2710</v>
      </c>
      <c r="AL722" s="1338"/>
      <c r="AM722" s="1338"/>
      <c r="AN722" s="1338"/>
      <c r="AO722" s="1339"/>
      <c r="AP722" s="3"/>
      <c r="AQ722" s="3"/>
      <c r="AR722" s="3"/>
      <c r="AS722" s="3"/>
      <c r="AY722" s="116"/>
      <c r="AZ722" s="118">
        <f t="shared" si="9"/>
        <v>5734</v>
      </c>
      <c r="BA722" s="3"/>
      <c r="BB722" s="3"/>
      <c r="BC722" s="3"/>
      <c r="BD722" s="3"/>
      <c r="BE722" s="204"/>
      <c r="BF722" s="294">
        <f t="shared" si="10"/>
        <v>1</v>
      </c>
      <c r="BG722" s="297">
        <f t="shared" si="11"/>
        <v>0.05</v>
      </c>
      <c r="BH722" s="298">
        <f t="shared" si="12"/>
        <v>1.4999999999999999E-2</v>
      </c>
      <c r="BI722" s="3"/>
      <c r="BJ722" s="3"/>
      <c r="BK722" s="3"/>
      <c r="BL722" s="3"/>
      <c r="BM722" s="3"/>
      <c r="BN722" s="3"/>
      <c r="BS722" s="294">
        <f t="shared" si="13"/>
        <v>1</v>
      </c>
      <c r="BT722" s="297">
        <f t="shared" si="14"/>
        <v>0.05</v>
      </c>
      <c r="BU722" s="298">
        <f t="shared" si="15"/>
        <v>1.4998256016742241E-2</v>
      </c>
      <c r="CC722" s="3"/>
      <c r="CD722" s="3"/>
      <c r="CE722" s="3"/>
      <c r="CF722" s="3"/>
      <c r="CG722" s="1462">
        <f t="shared" si="37"/>
        <v>0</v>
      </c>
      <c r="CH722" s="1463"/>
      <c r="CI722" s="1468">
        <f t="shared" si="38"/>
        <v>0</v>
      </c>
      <c r="CJ722" s="1469"/>
      <c r="CK722" s="1462">
        <f t="shared" si="16"/>
        <v>1</v>
      </c>
      <c r="CL722" s="1463"/>
      <c r="CM722" s="1468">
        <f t="shared" si="17"/>
        <v>1</v>
      </c>
      <c r="CN722" s="1469"/>
      <c r="CO722" s="3"/>
      <c r="CP722" s="1457">
        <f t="shared" si="18"/>
        <v>0</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1</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1</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f t="shared" si="34"/>
        <v>1720</v>
      </c>
      <c r="FU722" s="1464"/>
      <c r="FV722" s="1464"/>
      <c r="FW722" s="1464"/>
      <c r="FX722" s="1463"/>
      <c r="FY722" s="1462" t="str">
        <f t="shared" si="35"/>
        <v/>
      </c>
      <c r="FZ722" s="1464"/>
      <c r="GA722" s="1464"/>
      <c r="GB722" s="1464"/>
      <c r="GC722" s="1463"/>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8"/>
        <v>0</v>
      </c>
      <c r="Y723" s="1353"/>
      <c r="Z723" s="1353"/>
      <c r="AA723" s="1353"/>
      <c r="AB723" s="1354"/>
      <c r="AC723" s="1359"/>
      <c r="AD723" s="1360"/>
      <c r="AE723" s="1360"/>
      <c r="AF723" s="1360"/>
      <c r="AG723" s="1361"/>
      <c r="AH723" s="1355" t="str">
        <f t="shared" si="36"/>
        <v/>
      </c>
      <c r="AI723" s="1356"/>
      <c r="AJ723" s="1357"/>
      <c r="AK723" s="1337" t="s">
        <v>592</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t="str">
        <f t="shared" si="32"/>
        <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8"/>
        <v>0</v>
      </c>
      <c r="Y724" s="1353"/>
      <c r="Z724" s="1353"/>
      <c r="AA724" s="1353"/>
      <c r="AB724" s="1354"/>
      <c r="AC724" s="1359"/>
      <c r="AD724" s="1360"/>
      <c r="AE724" s="1360"/>
      <c r="AF724" s="1360"/>
      <c r="AG724" s="1361"/>
      <c r="AH724" s="1355" t="str">
        <f t="shared" si="36"/>
        <v/>
      </c>
      <c r="AI724" s="1356"/>
      <c r="AJ724" s="1357"/>
      <c r="AK724" s="1337" t="s">
        <v>592</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8"/>
        <v>0</v>
      </c>
      <c r="Y725" s="1353"/>
      <c r="Z725" s="1353"/>
      <c r="AA725" s="1353"/>
      <c r="AB725" s="1354"/>
      <c r="AC725" s="1359"/>
      <c r="AD725" s="1360"/>
      <c r="AE725" s="1360"/>
      <c r="AF725" s="1360"/>
      <c r="AG725" s="1361"/>
      <c r="AH725" s="1355" t="str">
        <f t="shared" si="36"/>
        <v/>
      </c>
      <c r="AI725" s="1356"/>
      <c r="AJ725" s="1357"/>
      <c r="AK725" s="1337" t="s">
        <v>592</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1">
        <f>SUM(G718:G752)</f>
        <v>20</v>
      </c>
      <c r="H753" s="1622"/>
      <c r="I753" s="1622"/>
      <c r="J753" s="1623"/>
      <c r="K753" s="902" t="s">
        <v>124</v>
      </c>
      <c r="L753" s="5"/>
      <c r="M753" s="5"/>
      <c r="N753" s="46"/>
      <c r="O753" s="1352">
        <f>SUMPRODUCT(G718:G752,O718:O752)</f>
        <v>19547</v>
      </c>
      <c r="P753" s="1353"/>
      <c r="Q753" s="1353"/>
      <c r="R753" s="1353"/>
      <c r="S753" s="1354"/>
      <c r="T753"/>
      <c r="U753"/>
      <c r="V753"/>
      <c r="W753"/>
      <c r="X753" s="904" t="s">
        <v>901</v>
      </c>
      <c r="Y753" s="903"/>
      <c r="Z753" s="903"/>
      <c r="AA753" s="903"/>
      <c r="AB753" s="905"/>
      <c r="AC753" s="1604">
        <f>BH753</f>
        <v>0.30000000000000004</v>
      </c>
      <c r="AD753" s="1605"/>
      <c r="AE753" s="1605"/>
      <c r="AF753" s="1605"/>
      <c r="AG753" s="1606"/>
      <c r="AH753" s="1604">
        <f>IFERROR(BU753,"")</f>
        <v>0.25752952944493818</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20</v>
      </c>
      <c r="BG753" s="300">
        <f>SUM(BG718:BG752)</f>
        <v>1</v>
      </c>
      <c r="BH753" s="300">
        <f>SUM(BH718:BH752)</f>
        <v>0.30000000000000004</v>
      </c>
      <c r="BI753"/>
      <c r="BJ753"/>
      <c r="BK753"/>
      <c r="BL753"/>
      <c r="BO753"/>
      <c r="BP753"/>
      <c r="BQ753"/>
      <c r="BR753"/>
      <c r="BS753" s="859">
        <f>SUM(BS718:BS752)</f>
        <v>20</v>
      </c>
      <c r="BT753" s="300">
        <f>SUM(BT718:BT752)</f>
        <v>1</v>
      </c>
      <c r="BU753" s="300">
        <f>SUM(BU718:BU752)</f>
        <v>0.25752952944493818</v>
      </c>
      <c r="CI753" s="1462">
        <f>SUM(CI718:CJ752)</f>
        <v>0</v>
      </c>
      <c r="CJ753" s="1463"/>
      <c r="CM753" s="1462">
        <f>SUM(CM718:CN752)</f>
        <v>20</v>
      </c>
      <c r="CN753" s="1463"/>
      <c r="CP753" s="1462">
        <f>SUM(CP718:CT752)</f>
        <v>8</v>
      </c>
      <c r="CQ753" s="1464"/>
      <c r="CR753" s="1464"/>
      <c r="CS753" s="1464"/>
      <c r="CT753" s="1463"/>
      <c r="CU753" s="1460">
        <f>SUM(CU718:CY752)</f>
        <v>10</v>
      </c>
      <c r="CV753" s="1460"/>
      <c r="CW753" s="1460"/>
      <c r="CX753" s="1460"/>
      <c r="CY753" s="1460"/>
      <c r="CZ753" s="1460">
        <f>SUM(CZ718:DD752)</f>
        <v>1</v>
      </c>
      <c r="DA753" s="1460"/>
      <c r="DB753" s="1460"/>
      <c r="DC753" s="1460"/>
      <c r="DD753" s="1460"/>
      <c r="DE753" s="1460">
        <f>SUM(DE718:DI752)</f>
        <v>0</v>
      </c>
      <c r="DF753" s="1460"/>
      <c r="DG753" s="1460"/>
      <c r="DH753" s="1460"/>
      <c r="DI753" s="1460"/>
      <c r="DJ753" s="1460">
        <f>SUM(DJ718:DN752)</f>
        <v>1</v>
      </c>
      <c r="DK753" s="1460"/>
      <c r="DL753" s="1460"/>
      <c r="DM753" s="1460"/>
      <c r="DN753" s="1460"/>
      <c r="DO753" s="1460">
        <f>SUM(DO718:DS752)</f>
        <v>0</v>
      </c>
      <c r="DP753" s="1460"/>
      <c r="DQ753" s="1460"/>
      <c r="DR753" s="1460"/>
      <c r="DS753" s="1460"/>
      <c r="DT753" s="354"/>
      <c r="DU753" s="1460">
        <f>SUM(DU718:DY752)</f>
        <v>8</v>
      </c>
      <c r="DV753" s="1460"/>
      <c r="DW753" s="1460"/>
      <c r="DX753" s="1460"/>
      <c r="DY753" s="1460"/>
      <c r="DZ753" s="1460">
        <f>SUM(DZ718:ED752)</f>
        <v>10</v>
      </c>
      <c r="EA753" s="1460"/>
      <c r="EB753" s="1460"/>
      <c r="EC753" s="1460"/>
      <c r="ED753" s="1460"/>
      <c r="EE753" s="1460">
        <f>SUM(EE718:EI752)</f>
        <v>1</v>
      </c>
      <c r="EF753" s="1460"/>
      <c r="EG753" s="1460"/>
      <c r="EH753" s="1460"/>
      <c r="EI753" s="1460"/>
      <c r="EJ753" s="1460">
        <f>SUM(EJ718:EN752)</f>
        <v>0</v>
      </c>
      <c r="EK753" s="1460"/>
      <c r="EL753" s="1460"/>
      <c r="EM753" s="1460"/>
      <c r="EN753" s="1460"/>
      <c r="EO753" s="1460">
        <f>SUM(EO718:ES752)</f>
        <v>1</v>
      </c>
      <c r="EP753" s="1460"/>
      <c r="EQ753" s="1460"/>
      <c r="ER753" s="1460"/>
      <c r="ES753" s="1460"/>
      <c r="ET753" s="1460">
        <f>SUM(ET718:EX752)</f>
        <v>0</v>
      </c>
      <c r="EU753" s="1460"/>
      <c r="EV753" s="1460"/>
      <c r="EW753" s="1460"/>
      <c r="EX753" s="1460"/>
      <c r="EY753"/>
      <c r="EZ753" s="1460">
        <f>SUM(EZ718:FD752)</f>
        <v>1343</v>
      </c>
      <c r="FA753" s="1460"/>
      <c r="FB753" s="1460"/>
      <c r="FC753" s="1460"/>
      <c r="FD753" s="1460"/>
      <c r="FE753" s="1460">
        <f>SUM(FE718:FI752)</f>
        <v>1112</v>
      </c>
      <c r="FF753" s="1460"/>
      <c r="FG753" s="1460"/>
      <c r="FH753" s="1460"/>
      <c r="FI753" s="1460"/>
      <c r="FJ753" s="1460">
        <f>SUM(FJ718:FN752)</f>
        <v>1335</v>
      </c>
      <c r="FK753" s="1460"/>
      <c r="FL753" s="1460"/>
      <c r="FM753" s="1460"/>
      <c r="FN753" s="1460"/>
      <c r="FO753" s="1460">
        <f>SUM(FO718:FS752)</f>
        <v>0</v>
      </c>
      <c r="FP753" s="1460"/>
      <c r="FQ753" s="1460"/>
      <c r="FR753" s="1460"/>
      <c r="FS753" s="1460"/>
      <c r="FT753" s="1460">
        <f>SUM(FT718:FX752)</f>
        <v>1720</v>
      </c>
      <c r="FU753" s="1460"/>
      <c r="FV753" s="1460"/>
      <c r="FW753" s="1460"/>
      <c r="FX753" s="1460"/>
      <c r="FY753" s="1460">
        <f>SUM(FY718:GC752)</f>
        <v>0</v>
      </c>
      <c r="FZ753" s="1460"/>
      <c r="GA753" s="1460"/>
      <c r="GB753" s="1460"/>
      <c r="GC753" s="1460"/>
    </row>
    <row r="754" spans="1:185" s="3" customFormat="1" ht="12.95" customHeight="1">
      <c r="A754"/>
      <c r="B754" s="1620" t="s">
        <v>1895</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1862</v>
      </c>
      <c r="DO754" s="1462">
        <f>CP753+CU753+CZ753+DE753+DJ753+DO753</f>
        <v>20</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8</v>
      </c>
      <c r="CU755" s="3"/>
      <c r="CV755" s="3"/>
      <c r="CW755" s="3"/>
      <c r="CX755" s="3"/>
      <c r="CY755" s="861">
        <f>CU753*1</f>
        <v>10</v>
      </c>
      <c r="CZ755" s="3"/>
      <c r="DA755" s="3"/>
      <c r="DB755" s="3"/>
      <c r="DC755" s="3"/>
      <c r="DD755" s="861">
        <f>CZ753*2</f>
        <v>2</v>
      </c>
      <c r="DE755" s="3"/>
      <c r="DF755" s="3"/>
      <c r="DG755" s="3"/>
      <c r="DH755" s="3"/>
      <c r="DI755" s="861">
        <f>DE753*3</f>
        <v>0</v>
      </c>
      <c r="DJ755" s="3"/>
      <c r="DK755" s="3"/>
      <c r="DL755" s="3"/>
      <c r="DM755" s="3"/>
      <c r="DN755" s="861">
        <f>DJ753*4</f>
        <v>4</v>
      </c>
      <c r="DO755" s="3"/>
      <c r="DP755" s="3"/>
      <c r="DQ755" s="3"/>
      <c r="DR755" s="3"/>
      <c r="DS755" s="861">
        <f>DO753*5</f>
        <v>0</v>
      </c>
      <c r="DU755" s="861">
        <f>CT755+CY755+DD755+DI755+DN755+DS755</f>
        <v>24</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0">
        <f>DU755</f>
        <v>24</v>
      </c>
      <c r="P756" s="1460"/>
      <c r="Q756" s="1460"/>
      <c r="R756" s="1460"/>
      <c r="S756" s="969"/>
      <c r="T756" s="969"/>
      <c r="U756" s="118" t="s">
        <v>1894</v>
      </c>
      <c r="V756" s="1032"/>
      <c r="W756" s="1032"/>
      <c r="X756" s="1032"/>
      <c r="Y756" s="1033"/>
      <c r="Z756" s="1033"/>
      <c r="AA756" s="1033"/>
      <c r="AB756" s="1033"/>
      <c r="AC756" s="1032"/>
      <c r="AD756" s="1032"/>
      <c r="AE756" s="1032"/>
      <c r="AF756" s="1032"/>
      <c r="AG756" s="1627">
        <v>24</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9" t="s">
        <v>285</v>
      </c>
      <c r="P769" s="1619"/>
      <c r="Q769" s="1619"/>
      <c r="R769" s="1619"/>
      <c r="S769" s="1619"/>
      <c r="T769" s="1719" t="s">
        <v>1680</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324</v>
      </c>
      <c r="K773" s="1338"/>
      <c r="L773" s="1338"/>
      <c r="M773" s="1338"/>
      <c r="N773" s="1339"/>
      <c r="O773" s="1613">
        <v>1</v>
      </c>
      <c r="P773" s="1613"/>
      <c r="Q773" s="1613"/>
      <c r="R773" s="1613"/>
      <c r="S773" s="1613"/>
      <c r="T773" s="1343">
        <v>349</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1</v>
      </c>
      <c r="CQ773" s="1458"/>
      <c r="CR773" s="1458"/>
      <c r="CS773" s="1458"/>
      <c r="CT773" s="1459"/>
      <c r="CU773" s="1442">
        <f>IF(J773="1 Bedroom",O773,0)</f>
        <v>0</v>
      </c>
      <c r="CV773" s="1442"/>
      <c r="CW773" s="1442"/>
      <c r="CX773" s="1442"/>
      <c r="CY773" s="1442"/>
      <c r="CZ773" s="1442">
        <f>IF(J773="2 Bedrooms",O773,0)</f>
        <v>0</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1</v>
      </c>
      <c r="CQ777" s="1470"/>
      <c r="CR777" s="1470"/>
      <c r="CS777" s="1470"/>
      <c r="CT777" s="1469"/>
      <c r="CU777" s="1471">
        <f>SUM(CU773:CY776)</f>
        <v>0</v>
      </c>
      <c r="CV777" s="1472"/>
      <c r="CW777" s="1472"/>
      <c r="CX777" s="1472"/>
      <c r="CY777" s="1473"/>
      <c r="CZ777" s="1471">
        <f>SUM(CZ773:DD776)</f>
        <v>0</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1</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1863</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9" t="s">
        <v>285</v>
      </c>
      <c r="P783" s="1619"/>
      <c r="Q783" s="1619"/>
      <c r="R783" s="1619"/>
      <c r="S783" s="1619"/>
      <c r="T783" s="1719" t="s">
        <v>1680</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19547</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234564</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9</v>
      </c>
      <c r="CQ802" s="1472"/>
      <c r="CR802" s="1472"/>
      <c r="CS802" s="1472"/>
      <c r="CT802" s="1473"/>
      <c r="CU802" s="1471">
        <f>CU753+CU777+CU797</f>
        <v>10</v>
      </c>
      <c r="CV802" s="1472"/>
      <c r="CW802" s="1472"/>
      <c r="CX802" s="1472"/>
      <c r="CY802" s="1473"/>
      <c r="CZ802" s="1471">
        <f>CZ753+CZ777+CZ797</f>
        <v>1</v>
      </c>
      <c r="DA802" s="1472"/>
      <c r="DB802" s="1472"/>
      <c r="DC802" s="1472"/>
      <c r="DD802" s="1473"/>
      <c r="DE802" s="1471">
        <f>DE753+DE777+DE797</f>
        <v>0</v>
      </c>
      <c r="DF802" s="1472"/>
      <c r="DG802" s="1472"/>
      <c r="DH802" s="1472"/>
      <c r="DI802" s="1473"/>
      <c r="DJ802" s="1471">
        <f>DJ753+DJ777+DJ797</f>
        <v>1</v>
      </c>
      <c r="DK802" s="1472"/>
      <c r="DL802" s="1472"/>
      <c r="DM802" s="1472"/>
      <c r="DN802" s="1473"/>
      <c r="DO802" s="1462">
        <f>DO797+DO777+DO753</f>
        <v>0</v>
      </c>
      <c r="DP802" s="1464"/>
      <c r="DQ802" s="1464"/>
      <c r="DR802" s="1464"/>
      <c r="DS802" s="1463"/>
      <c r="DT802" s="3"/>
      <c r="DU802" s="861">
        <f>DU755+DU800</f>
        <v>24</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15</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20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t="s">
        <v>2705</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267864</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502428</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2706</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v>10643</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5000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3000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v>2000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3" t="s">
        <v>334</v>
      </c>
      <c r="N846" s="1594"/>
      <c r="O846" s="1594"/>
      <c r="P846" s="1594"/>
      <c r="Q846" s="1594"/>
      <c r="R846" s="1594"/>
      <c r="S846" s="1594"/>
      <c r="T846" s="1594"/>
      <c r="U846" s="1594"/>
      <c r="V846" s="1595"/>
      <c r="W846" s="1480"/>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20643</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8" t="s">
        <v>345</v>
      </c>
      <c r="K849" s="1449"/>
      <c r="L849" s="1449"/>
      <c r="M849" s="1449"/>
      <c r="N849" s="1449"/>
      <c r="O849" s="1449"/>
      <c r="P849" s="1449"/>
      <c r="Q849" s="1449"/>
      <c r="R849" s="1449"/>
      <c r="S849" s="1449"/>
      <c r="T849" s="1449"/>
      <c r="U849" s="1449"/>
      <c r="V849" s="1450"/>
      <c r="W849" s="1465">
        <v>28293</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20000</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v>37200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57200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24360</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09"/>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09"/>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334</v>
      </c>
      <c r="N861" s="1594"/>
      <c r="O861" s="1594"/>
      <c r="P861" s="1594"/>
      <c r="Q861" s="1594"/>
      <c r="R861" s="1594"/>
      <c r="S861" s="1594"/>
      <c r="T861" s="1594"/>
      <c r="U861" s="1594"/>
      <c r="V861" s="1595"/>
      <c r="W861" s="1630"/>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24360</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34739</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v>5000</v>
      </c>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v>30000</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v>20500</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v>3838</v>
      </c>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v>12500</v>
      </c>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c r="X870" s="1480"/>
      <c r="Y870" s="1480"/>
      <c r="Z870" s="1480"/>
      <c r="AA870" s="1480"/>
      <c r="AB870" s="1480"/>
      <c r="AC870" s="1480"/>
      <c r="AU870" s="4"/>
      <c r="AZ870" s="34"/>
      <c r="BA870" s="34"/>
      <c r="BB870" s="34"/>
      <c r="BC870" s="34"/>
    </row>
    <row r="871" spans="3:55" ht="12.95" customHeight="1">
      <c r="J871" s="45" t="s">
        <v>170</v>
      </c>
      <c r="K871" s="5"/>
      <c r="L871" s="5"/>
      <c r="M871" s="1593" t="s">
        <v>334</v>
      </c>
      <c r="N871" s="1594"/>
      <c r="O871" s="1594"/>
      <c r="P871" s="1594"/>
      <c r="Q871" s="1594"/>
      <c r="R871" s="1594"/>
      <c r="S871" s="1594"/>
      <c r="T871" s="1594"/>
      <c r="U871" s="1594"/>
      <c r="V871" s="1595"/>
      <c r="W871" s="1480"/>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71838</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334</v>
      </c>
      <c r="N874" s="1594"/>
      <c r="O874" s="1594"/>
      <c r="P874" s="1594"/>
      <c r="Q874" s="1594"/>
      <c r="R874" s="1594"/>
      <c r="S874" s="1594"/>
      <c r="T874" s="1594"/>
      <c r="U874" s="1594"/>
      <c r="V874" s="1595"/>
      <c r="W874" s="1465"/>
      <c r="X874" s="1466"/>
      <c r="Y874" s="1466"/>
      <c r="Z874" s="1466"/>
      <c r="AA874" s="1466"/>
      <c r="AB874" s="1466"/>
      <c r="AC874" s="1467"/>
      <c r="AD874" s="533"/>
      <c r="AV874" s="14"/>
      <c r="AW874" s="14"/>
      <c r="AX874" s="14"/>
      <c r="AY874" s="14"/>
      <c r="AZ874" s="34"/>
      <c r="BA874" s="34"/>
      <c r="BB874" s="34"/>
      <c r="BC874" s="34"/>
    </row>
    <row r="875" spans="3:55" ht="12.95" customHeight="1">
      <c r="C875" s="2" t="s">
        <v>1245</v>
      </c>
      <c r="J875" s="45" t="s">
        <v>170</v>
      </c>
      <c r="K875" s="5"/>
      <c r="L875" s="5"/>
      <c r="M875" s="1593" t="s">
        <v>334</v>
      </c>
      <c r="N875" s="1594"/>
      <c r="O875" s="1594"/>
      <c r="P875" s="1594"/>
      <c r="Q875" s="1594"/>
      <c r="R875" s="1594"/>
      <c r="S875" s="1594"/>
      <c r="T875" s="1594"/>
      <c r="U875" s="1594"/>
      <c r="V875" s="1595"/>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237073</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21</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11289</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f>+'Sources and Uses Budget'!C75</f>
        <v>108795</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74991</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10500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2.95" hidden="1" customHeight="1">
      <c r="C892" s="1448" t="s">
        <v>2234</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5" customHeight="1">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0"/>
      <c r="AD894" s="1480"/>
      <c r="AE894" s="1480"/>
      <c r="AF894" s="1480"/>
      <c r="AG894" s="1480"/>
      <c r="AH894" s="1480"/>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9"/>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600"/>
      <c r="U917" s="1587"/>
      <c r="V917" s="1588"/>
      <c r="W917" s="1588"/>
      <c r="X917" s="1588"/>
      <c r="Y917" s="1588"/>
      <c r="Z917" s="1588"/>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592" t="s">
        <v>546</v>
      </c>
      <c r="V918" s="1402"/>
      <c r="W918" s="1402"/>
      <c r="X918" s="1402"/>
      <c r="Y918" s="1402"/>
      <c r="Z918" s="1403"/>
      <c r="AA918" s="1407">
        <f>+AM554</f>
        <v>9641421</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1" t="s">
        <v>2194</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1" t="s">
        <v>2195</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1" t="s">
        <v>2196</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1" t="s">
        <v>2197</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1" t="s">
        <v>2198</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1" t="s">
        <v>2199</v>
      </c>
      <c r="G932" s="1602"/>
      <c r="H932" s="1602"/>
      <c r="I932" s="1602"/>
      <c r="J932" s="1602"/>
      <c r="K932" s="1602"/>
      <c r="L932" s="1602"/>
      <c r="M932" s="1602"/>
      <c r="N932" s="1602"/>
      <c r="O932" s="1602"/>
      <c r="P932" s="1602"/>
      <c r="Q932" s="1602"/>
      <c r="R932" s="1602"/>
      <c r="S932" s="1602"/>
      <c r="T932" s="1603"/>
      <c r="U932" s="1401" t="s">
        <v>546</v>
      </c>
      <c r="V932" s="1402"/>
      <c r="W932" s="1402"/>
      <c r="X932" s="1402"/>
      <c r="Y932" s="1402"/>
      <c r="Z932" s="1403"/>
      <c r="AA932" s="1407">
        <f>+AM555</f>
        <v>6425000</v>
      </c>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9" t="s">
        <v>2203</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2.95" customHeight="1">
      <c r="F937" s="1639" t="s">
        <v>2204</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2.95" customHeight="1">
      <c r="F938" s="1601" t="s">
        <v>2200</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2.95" customHeight="1">
      <c r="F939" s="1601" t="s">
        <v>2201</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2.95" customHeight="1">
      <c r="F940" s="1601" t="s">
        <v>2202</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9" t="s">
        <v>2205</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9" t="s">
        <v>2206</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1" t="s">
        <v>2193</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5" t="s">
        <v>334</v>
      </c>
      <c r="J949" s="1536"/>
      <c r="K949" s="1536"/>
      <c r="L949" s="1536"/>
      <c r="M949" s="1536"/>
      <c r="N949" s="1536"/>
      <c r="O949" s="1536"/>
      <c r="P949" s="1536"/>
      <c r="Q949" s="1536"/>
      <c r="R949" s="1536"/>
      <c r="S949" s="1536"/>
      <c r="T949" s="1537"/>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v>44585</v>
      </c>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t="s">
        <v>2708</v>
      </c>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59">
        <v>15</v>
      </c>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v>20</v>
      </c>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404366</v>
      </c>
      <c r="S986" s="1551"/>
      <c r="T986" s="1551"/>
      <c r="U986" s="1551"/>
      <c r="V986" s="1551"/>
      <c r="W986" s="1551"/>
      <c r="X986" s="1551"/>
      <c r="Y986" s="1551"/>
      <c r="Z986" s="1551"/>
      <c r="AA986" s="1551"/>
      <c r="AB986" s="1389">
        <f>CP802</f>
        <v>9</v>
      </c>
      <c r="AC986" s="1390"/>
      <c r="AD986" s="1390"/>
      <c r="AE986" s="1390"/>
      <c r="AF986" s="1390"/>
      <c r="AG986" s="1390"/>
      <c r="AH986" s="1390"/>
      <c r="AI986" s="1391"/>
      <c r="AJ986" s="1487">
        <f>IF(ISERROR((R986*AB986)),0,(R986*AB986))</f>
        <v>3639294</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466230</v>
      </c>
      <c r="S987" s="1551"/>
      <c r="T987" s="1551"/>
      <c r="U987" s="1551"/>
      <c r="V987" s="1551"/>
      <c r="W987" s="1551"/>
      <c r="X987" s="1551"/>
      <c r="Y987" s="1551"/>
      <c r="Z987" s="1551"/>
      <c r="AA987" s="1551"/>
      <c r="AB987" s="1389">
        <f>CU802</f>
        <v>10</v>
      </c>
      <c r="AC987" s="1390"/>
      <c r="AD987" s="1390"/>
      <c r="AE987" s="1390"/>
      <c r="AF987" s="1390"/>
      <c r="AG987" s="1390"/>
      <c r="AH987" s="1390"/>
      <c r="AI987" s="1391"/>
      <c r="AJ987" s="1487">
        <f>IF(ISERROR((R987*AB987)),0,(R987*AB987))</f>
        <v>4662300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562400</v>
      </c>
      <c r="S988" s="1551"/>
      <c r="T988" s="1551"/>
      <c r="U988" s="1551"/>
      <c r="V988" s="1551"/>
      <c r="W988" s="1551"/>
      <c r="X988" s="1551"/>
      <c r="Y988" s="1551"/>
      <c r="Z988" s="1551"/>
      <c r="AA988" s="1551"/>
      <c r="AB988" s="1389">
        <f>CZ802</f>
        <v>1</v>
      </c>
      <c r="AC988" s="1390"/>
      <c r="AD988" s="1390"/>
      <c r="AE988" s="1390"/>
      <c r="AF988" s="1390"/>
      <c r="AG988" s="1390"/>
      <c r="AH988" s="1390"/>
      <c r="AI988" s="1391"/>
      <c r="AJ988" s="1487">
        <f>IF(ISERROR((R988*AB988)),0,(R988*AB988))</f>
        <v>562400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719872</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801982</v>
      </c>
      <c r="S990" s="1551"/>
      <c r="T990" s="1551"/>
      <c r="U990" s="1551"/>
      <c r="V990" s="1551"/>
      <c r="W990" s="1551"/>
      <c r="X990" s="1551"/>
      <c r="Y990" s="1551"/>
      <c r="Z990" s="1551"/>
      <c r="AA990" s="1551"/>
      <c r="AB990" s="1389">
        <f>DO802+DJ802</f>
        <v>1</v>
      </c>
      <c r="AC990" s="1390"/>
      <c r="AD990" s="1390"/>
      <c r="AE990" s="1390"/>
      <c r="AF990" s="1390"/>
      <c r="AG990" s="1390"/>
      <c r="AH990" s="1390"/>
      <c r="AI990" s="1391"/>
      <c r="AJ990" s="1487">
        <f>IF(ISERROR((R990*AB990)),0,(R990*AB990))</f>
        <v>801982</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21</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9665976</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546</v>
      </c>
      <c r="AH994" s="1500"/>
      <c r="AI994" s="87"/>
      <c r="AJ994" s="1392">
        <f>ROUND(IF(AND(AG994="yes",D1000&gt;0),AJ992*0.2,0),0)</f>
        <v>1933195</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2236</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2207</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0" t="s">
        <v>2709</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20</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1</v>
      </c>
      <c r="AZ1006" s="34"/>
      <c r="BB1006" s="34"/>
    </row>
    <row r="1007" spans="1:55" ht="12.95" customHeight="1">
      <c r="A1007" s="14"/>
      <c r="B1007" s="255"/>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670</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2608</v>
      </c>
    </row>
    <row r="1013" spans="1:52" ht="12.95"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546</v>
      </c>
      <c r="AH1013" s="1502"/>
      <c r="AI1013" s="79"/>
      <c r="AJ1013" s="1392">
        <f>ROUND(IF(AG1013="yes",AJ992*0.02,0),0)</f>
        <v>193320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3" t="s">
        <v>2237</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546</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Enter Amount:</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670</v>
      </c>
      <c r="AH1029" s="1502"/>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670</v>
      </c>
      <c r="AH1036" s="1582"/>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1</v>
      </c>
      <c r="BB1039" s="3" t="s">
        <v>2494</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2491</v>
      </c>
    </row>
    <row r="1041" spans="1:56" ht="12.95"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546</v>
      </c>
      <c r="AH1041" s="1502"/>
      <c r="AI1041" s="87"/>
      <c r="AJ1041" s="1392">
        <f>ROUND(IF(AG1041="yes",(AJ992*0.1),0),0)</f>
        <v>966598</v>
      </c>
      <c r="AK1041" s="1393"/>
      <c r="AL1041" s="1393"/>
      <c r="AM1041" s="1393"/>
      <c r="AN1041" s="1393"/>
      <c r="AO1041" s="1393"/>
      <c r="AP1041" s="1393"/>
      <c r="AQ1041" s="1394"/>
      <c r="AR1041" s="68"/>
      <c r="AS1041" s="68"/>
      <c r="AT1041" s="68"/>
      <c r="AU1041" s="68"/>
      <c r="AV1041" s="68"/>
      <c r="AW1041" s="68"/>
      <c r="AX1041" s="68"/>
      <c r="AY1041" s="68"/>
      <c r="BA1041">
        <f>Q212</f>
        <v>20</v>
      </c>
      <c r="BB1041" s="3" t="s">
        <v>2492</v>
      </c>
    </row>
    <row r="1042" spans="1:56" ht="12.95" customHeight="1">
      <c r="A1042" s="14"/>
      <c r="B1042" s="73"/>
      <c r="C1042" s="74"/>
      <c r="D1042" s="1506" t="s">
        <v>2146</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1</v>
      </c>
      <c r="BB1042" s="3" t="s">
        <v>2493</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No</v>
      </c>
      <c r="AH1045" s="1572"/>
      <c r="AI1045" s="87"/>
      <c r="AJ1045" s="1392">
        <f>IF((X1048=0),0,AY1005*AJ992)</f>
        <v>0</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1971677.7</v>
      </c>
      <c r="BA1046" s="1182">
        <f>IF(BA1040,20%,15%)</f>
        <v>0.15</v>
      </c>
      <c r="BB1046" s="3" t="s">
        <v>2480</v>
      </c>
      <c r="BC1046" s="3" t="s">
        <v>2481</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973</v>
      </c>
      <c r="E1048" s="133"/>
      <c r="F1048" s="133"/>
      <c r="G1048" s="133"/>
      <c r="H1048" s="133"/>
      <c r="I1048" s="1569">
        <f>AY1003</f>
        <v>20</v>
      </c>
      <c r="J1048" s="1570"/>
      <c r="K1048" s="7"/>
      <c r="L1048" s="133"/>
      <c r="M1048" s="133"/>
      <c r="N1048" s="133"/>
      <c r="O1048" s="133"/>
      <c r="P1048" s="133"/>
      <c r="Q1048" s="133"/>
      <c r="R1048" s="133"/>
      <c r="S1048" s="133"/>
      <c r="T1048" s="133"/>
      <c r="U1048" s="133"/>
      <c r="V1048" s="134" t="s">
        <v>974</v>
      </c>
      <c r="W1048" s="48"/>
      <c r="X1048" s="1567">
        <f>CI753</f>
        <v>0</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1686</v>
      </c>
      <c r="D1049" s="1493" t="s">
        <v>2172</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19331952</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1971677</v>
      </c>
      <c r="BA1051" s="3" t="s">
        <v>2485</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9">
        <f>AY1003</f>
        <v>20</v>
      </c>
      <c r="J1052" s="1570"/>
      <c r="K1052" s="14"/>
      <c r="L1052" s="133"/>
      <c r="M1052" s="133"/>
      <c r="N1052" s="133"/>
      <c r="O1052" s="133"/>
      <c r="P1052" s="133"/>
      <c r="Q1052" s="133"/>
      <c r="R1052" s="133"/>
      <c r="S1052" s="133"/>
      <c r="T1052" s="133"/>
      <c r="U1052" s="133"/>
      <c r="V1052" s="134" t="s">
        <v>975</v>
      </c>
      <c r="X1052" s="1567">
        <f>CM753</f>
        <v>20</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32091041</v>
      </c>
      <c r="AK1053" s="1579"/>
      <c r="AL1053" s="1579"/>
      <c r="AM1053" s="1579"/>
      <c r="AN1053" s="1579"/>
      <c r="AO1053" s="1579"/>
      <c r="AP1053" s="1579"/>
      <c r="AQ1053" s="1580"/>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1971677</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15116195</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1971677.7</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1.1847393650126588</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1971677</v>
      </c>
      <c r="BB1058" s="3" t="s">
        <v>2495</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0</v>
      </c>
      <c r="BB1059" s="3" t="s">
        <v>2496</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72" zoomScale="130" zoomScaleNormal="130" workbookViewId="0">
      <selection activeCell="C87" sqref="C8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 xml:space="preserve">2)Homekey </v>
      </c>
      <c r="H2" s="139" t="str">
        <f>Application!B629&amp;Application!C629</f>
        <v>3)Perm Soft Debt</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553500</v>
      </c>
      <c r="C4" s="147">
        <v>553500</v>
      </c>
      <c r="D4" s="147"/>
      <c r="E4" s="147">
        <f>+C4-SUM(F4:Q4)</f>
        <v>0</v>
      </c>
      <c r="F4" s="147"/>
      <c r="G4" s="147">
        <v>553500</v>
      </c>
      <c r="H4" s="147"/>
      <c r="I4" s="147"/>
      <c r="J4" s="147"/>
      <c r="K4" s="147"/>
      <c r="L4" s="147"/>
      <c r="M4" s="147"/>
      <c r="N4" s="147"/>
      <c r="O4" s="147"/>
      <c r="P4" s="147"/>
      <c r="Q4" s="147"/>
      <c r="R4" s="516">
        <f>SUM(E4:Q4)</f>
        <v>553500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553500</v>
      </c>
      <c r="C8" s="146">
        <f t="shared" ref="C8:Q8" si="0">SUM(C4:C7)</f>
        <v>553500</v>
      </c>
      <c r="D8" s="146">
        <f t="shared" si="0"/>
        <v>0</v>
      </c>
      <c r="E8" s="146">
        <f t="shared" si="0"/>
        <v>0</v>
      </c>
      <c r="F8" s="146">
        <f t="shared" si="0"/>
        <v>0</v>
      </c>
      <c r="G8" s="146">
        <f t="shared" si="0"/>
        <v>553500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553500</v>
      </c>
      <c r="S8" s="148"/>
      <c r="T8" s="148"/>
      <c r="U8" s="143"/>
    </row>
    <row r="9" spans="1:21" s="144" customFormat="1">
      <c r="A9" s="145" t="s">
        <v>595</v>
      </c>
      <c r="B9" s="146">
        <f>SUM(C9+D9)</f>
        <v>2871500</v>
      </c>
      <c r="C9" s="147">
        <v>2871500</v>
      </c>
      <c r="D9" s="147"/>
      <c r="E9" s="147">
        <f>+C9-SUM(F9:Q9)</f>
        <v>0</v>
      </c>
      <c r="F9" s="147"/>
      <c r="G9" s="147">
        <v>2871500</v>
      </c>
      <c r="H9" s="147"/>
      <c r="I9" s="147"/>
      <c r="J9" s="147"/>
      <c r="K9" s="147"/>
      <c r="L9" s="147"/>
      <c r="M9" s="147"/>
      <c r="N9" s="147"/>
      <c r="O9" s="147"/>
      <c r="P9" s="147"/>
      <c r="Q9" s="147"/>
      <c r="R9" s="516">
        <f>SUM(E9:Q9)</f>
        <v>2871500</v>
      </c>
      <c r="S9" s="148"/>
      <c r="T9" s="147"/>
      <c r="U9" s="143"/>
    </row>
    <row r="10" spans="1:21" s="144" customFormat="1">
      <c r="A10" s="145" t="s">
        <v>596</v>
      </c>
      <c r="B10" s="146">
        <f>SUM(C10+D10)</f>
        <v>0</v>
      </c>
      <c r="C10" s="147"/>
      <c r="D10" s="147"/>
      <c r="E10" s="147">
        <f>+C10-SUM(F10:Q10)</f>
        <v>0</v>
      </c>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2871500</v>
      </c>
      <c r="C11" s="146">
        <f t="shared" ref="C11:Q11" si="1">SUM(C9:C10)</f>
        <v>2871500</v>
      </c>
      <c r="D11" s="146">
        <f t="shared" si="1"/>
        <v>0</v>
      </c>
      <c r="E11" s="146">
        <f t="shared" si="1"/>
        <v>0</v>
      </c>
      <c r="F11" s="146">
        <f t="shared" si="1"/>
        <v>0</v>
      </c>
      <c r="G11" s="146">
        <f t="shared" si="1"/>
        <v>2871500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2871500</v>
      </c>
      <c r="S11" s="148"/>
      <c r="T11" s="150">
        <f>SUM(T9:T10)</f>
        <v>0</v>
      </c>
      <c r="U11" s="143"/>
    </row>
    <row r="12" spans="1:21" s="144" customFormat="1">
      <c r="A12" s="149" t="s">
        <v>84</v>
      </c>
      <c r="B12" s="146">
        <f t="shared" ref="B12:Q12" si="2">SUM(B8+B11)</f>
        <v>3425000</v>
      </c>
      <c r="C12" s="146">
        <f t="shared" si="2"/>
        <v>3425000</v>
      </c>
      <c r="D12" s="146">
        <f t="shared" si="2"/>
        <v>0</v>
      </c>
      <c r="E12" s="146">
        <f t="shared" si="2"/>
        <v>0</v>
      </c>
      <c r="F12" s="146">
        <f t="shared" si="2"/>
        <v>0</v>
      </c>
      <c r="G12" s="146">
        <f t="shared" si="2"/>
        <v>3425000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3425000</v>
      </c>
      <c r="S12" s="148"/>
      <c r="T12" s="148"/>
      <c r="U12" s="143"/>
    </row>
    <row r="13" spans="1:21" s="144" customFormat="1">
      <c r="A13" s="287" t="s">
        <v>903</v>
      </c>
      <c r="B13" s="146">
        <f>SUM(C13+D13)</f>
        <v>0</v>
      </c>
      <c r="C13" s="147"/>
      <c r="D13" s="147"/>
      <c r="E13" s="147">
        <f t="shared" ref="E13:E15" si="3">+C13-SUM(F13:Q13)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f t="shared" si="3"/>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3"/>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1641</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9"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1200000</v>
      </c>
      <c r="C29" s="147">
        <v>1200000</v>
      </c>
      <c r="D29" s="147"/>
      <c r="E29" s="147">
        <f t="shared" ref="E29:E37" si="8">+C29-SUM(F29:Q29)</f>
        <v>-134703</v>
      </c>
      <c r="F29" s="147">
        <f>+Application!AO627</f>
        <v>1334703</v>
      </c>
      <c r="G29" s="147"/>
      <c r="H29" s="147"/>
      <c r="I29" s="147"/>
      <c r="J29" s="147"/>
      <c r="K29" s="147"/>
      <c r="L29" s="147"/>
      <c r="M29" s="147"/>
      <c r="N29" s="147"/>
      <c r="O29" s="147"/>
      <c r="P29" s="147"/>
      <c r="Q29" s="147"/>
      <c r="R29" s="516">
        <f t="shared" ref="R29:R37" si="9">SUM(E29:Q29)</f>
        <v>1200000</v>
      </c>
      <c r="S29" s="147">
        <f>+R29</f>
        <v>1200000</v>
      </c>
      <c r="T29" s="147"/>
      <c r="U29" s="143"/>
    </row>
    <row r="30" spans="1:21" s="144" customFormat="1">
      <c r="A30" s="145" t="s">
        <v>600</v>
      </c>
      <c r="B30" s="146">
        <f t="shared" si="7"/>
        <v>4523109</v>
      </c>
      <c r="C30" s="147">
        <v>4523109</v>
      </c>
      <c r="D30" s="147"/>
      <c r="E30" s="147">
        <f t="shared" si="8"/>
        <v>4523109</v>
      </c>
      <c r="F30" s="147"/>
      <c r="G30" s="147"/>
      <c r="H30" s="147"/>
      <c r="I30" s="147"/>
      <c r="J30" s="147"/>
      <c r="K30" s="147"/>
      <c r="L30" s="147"/>
      <c r="M30" s="147"/>
      <c r="N30" s="147"/>
      <c r="O30" s="147"/>
      <c r="P30" s="147"/>
      <c r="Q30" s="147"/>
      <c r="R30" s="516">
        <f t="shared" si="9"/>
        <v>4523109</v>
      </c>
      <c r="S30" s="147">
        <f t="shared" ref="S30:S37" si="10">+R30</f>
        <v>4523109</v>
      </c>
      <c r="T30" s="147"/>
      <c r="U30" s="143"/>
    </row>
    <row r="31" spans="1:21" s="144" customFormat="1">
      <c r="A31" s="145" t="s">
        <v>601</v>
      </c>
      <c r="B31" s="146">
        <f t="shared" si="7"/>
        <v>343387</v>
      </c>
      <c r="C31" s="147">
        <v>343387</v>
      </c>
      <c r="D31" s="147"/>
      <c r="E31" s="147">
        <f t="shared" si="8"/>
        <v>343387</v>
      </c>
      <c r="F31" s="147"/>
      <c r="G31" s="147"/>
      <c r="H31" s="147"/>
      <c r="I31" s="147"/>
      <c r="J31" s="147"/>
      <c r="K31" s="147"/>
      <c r="L31" s="147"/>
      <c r="M31" s="147"/>
      <c r="N31" s="147"/>
      <c r="O31" s="147"/>
      <c r="P31" s="147"/>
      <c r="Q31" s="147"/>
      <c r="R31" s="516">
        <f t="shared" si="9"/>
        <v>343387</v>
      </c>
      <c r="S31" s="147">
        <f t="shared" si="10"/>
        <v>343387</v>
      </c>
      <c r="T31" s="147"/>
      <c r="U31" s="143"/>
    </row>
    <row r="32" spans="1:21" s="144" customFormat="1">
      <c r="A32" s="145" t="s">
        <v>137</v>
      </c>
      <c r="B32" s="146">
        <f t="shared" si="7"/>
        <v>121330</v>
      </c>
      <c r="C32" s="147">
        <v>121330</v>
      </c>
      <c r="D32" s="147"/>
      <c r="E32" s="147">
        <f t="shared" si="8"/>
        <v>121330</v>
      </c>
      <c r="F32" s="147"/>
      <c r="G32" s="147"/>
      <c r="H32" s="147"/>
      <c r="I32" s="147"/>
      <c r="J32" s="147"/>
      <c r="K32" s="147"/>
      <c r="L32" s="147"/>
      <c r="M32" s="147"/>
      <c r="N32" s="147"/>
      <c r="O32" s="147"/>
      <c r="P32" s="147"/>
      <c r="Q32" s="147"/>
      <c r="R32" s="516">
        <f t="shared" si="9"/>
        <v>121330</v>
      </c>
      <c r="S32" s="147">
        <f t="shared" si="10"/>
        <v>121330</v>
      </c>
      <c r="T32" s="147"/>
      <c r="U32" s="143"/>
    </row>
    <row r="33" spans="1:21" s="144" customFormat="1">
      <c r="A33" s="145" t="s">
        <v>138</v>
      </c>
      <c r="B33" s="146">
        <f t="shared" si="7"/>
        <v>363990</v>
      </c>
      <c r="C33" s="147">
        <v>363990</v>
      </c>
      <c r="D33" s="147"/>
      <c r="E33" s="147">
        <f t="shared" si="8"/>
        <v>363990</v>
      </c>
      <c r="F33" s="147"/>
      <c r="G33" s="147"/>
      <c r="H33" s="147"/>
      <c r="I33" s="147"/>
      <c r="J33" s="147"/>
      <c r="K33" s="147"/>
      <c r="L33" s="147"/>
      <c r="M33" s="147"/>
      <c r="N33" s="147"/>
      <c r="O33" s="147"/>
      <c r="P33" s="147"/>
      <c r="Q33" s="147"/>
      <c r="R33" s="516">
        <f t="shared" si="9"/>
        <v>363990</v>
      </c>
      <c r="S33" s="147">
        <f t="shared" si="10"/>
        <v>363990</v>
      </c>
      <c r="T33" s="147"/>
      <c r="U33" s="143"/>
    </row>
    <row r="34" spans="1:21" s="144" customFormat="1">
      <c r="A34" s="145" t="s">
        <v>139</v>
      </c>
      <c r="B34" s="146">
        <f t="shared" si="7"/>
        <v>400000</v>
      </c>
      <c r="C34" s="147">
        <v>400000</v>
      </c>
      <c r="D34" s="147"/>
      <c r="E34" s="147">
        <f t="shared" si="8"/>
        <v>400000</v>
      </c>
      <c r="F34" s="147"/>
      <c r="G34" s="147"/>
      <c r="H34" s="147"/>
      <c r="I34" s="147"/>
      <c r="J34" s="147"/>
      <c r="K34" s="147"/>
      <c r="L34" s="147"/>
      <c r="M34" s="147"/>
      <c r="N34" s="147"/>
      <c r="O34" s="147"/>
      <c r="P34" s="147"/>
      <c r="Q34" s="147"/>
      <c r="R34" s="516">
        <f t="shared" si="9"/>
        <v>400000</v>
      </c>
      <c r="S34" s="147">
        <f t="shared" si="10"/>
        <v>400000</v>
      </c>
      <c r="T34" s="147"/>
      <c r="U34" s="143"/>
    </row>
    <row r="35" spans="1:21" s="144" customFormat="1">
      <c r="A35" s="145" t="s">
        <v>140</v>
      </c>
      <c r="B35" s="146">
        <f t="shared" si="7"/>
        <v>196554</v>
      </c>
      <c r="C35" s="147">
        <v>196554</v>
      </c>
      <c r="D35" s="147"/>
      <c r="E35" s="147">
        <f t="shared" si="8"/>
        <v>196554</v>
      </c>
      <c r="F35" s="147"/>
      <c r="G35" s="147"/>
      <c r="H35" s="147"/>
      <c r="I35" s="147"/>
      <c r="J35" s="147"/>
      <c r="K35" s="147"/>
      <c r="L35" s="147"/>
      <c r="M35" s="147"/>
      <c r="N35" s="147"/>
      <c r="O35" s="147"/>
      <c r="P35" s="147"/>
      <c r="Q35" s="147"/>
      <c r="R35" s="516">
        <f t="shared" si="9"/>
        <v>196554</v>
      </c>
      <c r="S35" s="147">
        <f t="shared" si="10"/>
        <v>196554</v>
      </c>
      <c r="T35" s="147"/>
      <c r="U35" s="143"/>
    </row>
    <row r="36" spans="1:21" s="144" customFormat="1">
      <c r="A36" s="283" t="s">
        <v>1641</v>
      </c>
      <c r="B36" s="146">
        <f t="shared" si="7"/>
        <v>0</v>
      </c>
      <c r="C36" s="147"/>
      <c r="D36" s="147"/>
      <c r="E36" s="147">
        <f t="shared" si="8"/>
        <v>0</v>
      </c>
      <c r="F36" s="147"/>
      <c r="G36" s="147"/>
      <c r="H36" s="147"/>
      <c r="I36" s="147"/>
      <c r="J36" s="147"/>
      <c r="K36" s="147"/>
      <c r="L36" s="147"/>
      <c r="M36" s="147"/>
      <c r="N36" s="147"/>
      <c r="O36" s="147"/>
      <c r="P36" s="147"/>
      <c r="Q36" s="147"/>
      <c r="R36" s="516">
        <f t="shared" si="9"/>
        <v>0</v>
      </c>
      <c r="S36" s="147">
        <f t="shared" si="10"/>
        <v>0</v>
      </c>
      <c r="T36" s="147"/>
      <c r="U36" s="143"/>
    </row>
    <row r="37" spans="1:21" s="144" customFormat="1">
      <c r="A37" s="1149" t="s">
        <v>2690</v>
      </c>
      <c r="B37" s="146">
        <f t="shared" si="7"/>
        <v>2271782</v>
      </c>
      <c r="C37" s="147">
        <f>1648410+623372</f>
        <v>2271782</v>
      </c>
      <c r="D37" s="147"/>
      <c r="E37" s="147">
        <f t="shared" si="8"/>
        <v>623372</v>
      </c>
      <c r="F37" s="147"/>
      <c r="G37" s="147">
        <v>1648410</v>
      </c>
      <c r="H37" s="147"/>
      <c r="I37" s="147"/>
      <c r="J37" s="147"/>
      <c r="K37" s="147"/>
      <c r="L37" s="147"/>
      <c r="M37" s="147"/>
      <c r="N37" s="147"/>
      <c r="O37" s="147"/>
      <c r="P37" s="147"/>
      <c r="Q37" s="147"/>
      <c r="R37" s="516">
        <f t="shared" si="9"/>
        <v>2271782</v>
      </c>
      <c r="S37" s="147">
        <f t="shared" si="10"/>
        <v>2271782</v>
      </c>
      <c r="T37" s="147"/>
      <c r="U37" s="143"/>
    </row>
    <row r="38" spans="1:21" s="144" customFormat="1">
      <c r="A38" s="149" t="s">
        <v>143</v>
      </c>
      <c r="B38" s="146">
        <f t="shared" si="7"/>
        <v>9420152</v>
      </c>
      <c r="C38" s="146">
        <f>SUM(C29:C37)</f>
        <v>9420152</v>
      </c>
      <c r="D38" s="146">
        <f t="shared" ref="D38:Q38" si="11">SUM(D29:D37)</f>
        <v>0</v>
      </c>
      <c r="E38" s="146">
        <f t="shared" si="11"/>
        <v>6437039</v>
      </c>
      <c r="F38" s="146">
        <f t="shared" si="11"/>
        <v>1334703</v>
      </c>
      <c r="G38" s="146">
        <f t="shared" si="11"/>
        <v>1648410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9420152</v>
      </c>
      <c r="S38" s="150">
        <f>SUM(S29:S37)</f>
        <v>9420152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f t="shared" ref="E40" si="12">C40-SUM(F40:L40)</f>
        <v>0</v>
      </c>
      <c r="F40" s="147"/>
      <c r="G40" s="147">
        <v>500000</v>
      </c>
      <c r="H40" s="147"/>
      <c r="I40" s="147"/>
      <c r="J40" s="147"/>
      <c r="K40" s="147"/>
      <c r="L40" s="147"/>
      <c r="M40" s="147"/>
      <c r="N40" s="147"/>
      <c r="O40" s="147"/>
      <c r="P40" s="147"/>
      <c r="Q40" s="147"/>
      <c r="R40" s="516">
        <f>SUM(E40:Q40)</f>
        <v>500000</v>
      </c>
      <c r="S40" s="147">
        <f t="shared" ref="S40:S41" si="13">+R40</f>
        <v>500000</v>
      </c>
      <c r="T40" s="147"/>
      <c r="U40" s="143"/>
    </row>
    <row r="41" spans="1:21" s="144" customFormat="1">
      <c r="A41" s="145" t="s">
        <v>146</v>
      </c>
      <c r="B41" s="146">
        <f>SUM(C41+D41)</f>
        <v>100000</v>
      </c>
      <c r="C41" s="147">
        <v>100000</v>
      </c>
      <c r="D41" s="147"/>
      <c r="E41" s="147">
        <f t="shared" ref="E41" si="14">+C41-SUM(F41:Q41)</f>
        <v>100000</v>
      </c>
      <c r="F41" s="147"/>
      <c r="G41" s="147"/>
      <c r="H41" s="147"/>
      <c r="I41" s="147"/>
      <c r="J41" s="147"/>
      <c r="K41" s="147"/>
      <c r="L41" s="147"/>
      <c r="M41" s="147"/>
      <c r="N41" s="147"/>
      <c r="O41" s="147"/>
      <c r="P41" s="147"/>
      <c r="Q41" s="147"/>
      <c r="R41" s="516">
        <f>SUM(E41:Q41)</f>
        <v>100000</v>
      </c>
      <c r="S41" s="147">
        <f t="shared" si="13"/>
        <v>100000</v>
      </c>
      <c r="T41" s="147"/>
      <c r="U41" s="143"/>
    </row>
    <row r="42" spans="1:21" s="144" customFormat="1">
      <c r="A42" s="149" t="s">
        <v>147</v>
      </c>
      <c r="B42" s="146">
        <f>SUM(C42:D42)</f>
        <v>600000</v>
      </c>
      <c r="C42" s="146">
        <f>SUM(C39:C41)</f>
        <v>600000</v>
      </c>
      <c r="D42" s="146">
        <f>SUM(D39:D41)</f>
        <v>0</v>
      </c>
      <c r="E42" s="146">
        <f t="shared" ref="E42:T42" si="15">SUM(E40:E41)</f>
        <v>100000</v>
      </c>
      <c r="F42" s="146">
        <f t="shared" si="15"/>
        <v>0</v>
      </c>
      <c r="G42" s="146">
        <f t="shared" si="15"/>
        <v>500000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600000</v>
      </c>
      <c r="S42" s="150">
        <f t="shared" si="15"/>
        <v>600000</v>
      </c>
      <c r="T42" s="150">
        <f t="shared" si="15"/>
        <v>0</v>
      </c>
      <c r="U42" s="143"/>
    </row>
    <row r="43" spans="1:21" s="144" customFormat="1">
      <c r="A43" s="149" t="s">
        <v>148</v>
      </c>
      <c r="B43" s="146">
        <f>SUM(C43:D43)</f>
        <v>350000</v>
      </c>
      <c r="C43" s="147">
        <v>350000</v>
      </c>
      <c r="D43" s="147"/>
      <c r="E43" s="147">
        <f t="shared" ref="E43" si="16">C43-SUM(F43:L43)</f>
        <v>0</v>
      </c>
      <c r="F43" s="147"/>
      <c r="G43" s="147">
        <v>350000</v>
      </c>
      <c r="H43" s="147"/>
      <c r="I43" s="147"/>
      <c r="J43" s="147"/>
      <c r="K43" s="147"/>
      <c r="L43" s="147"/>
      <c r="M43" s="147"/>
      <c r="N43" s="147"/>
      <c r="O43" s="147"/>
      <c r="P43" s="147"/>
      <c r="Q43" s="147"/>
      <c r="R43" s="516">
        <f>SUM(E43:Q43)</f>
        <v>350000</v>
      </c>
      <c r="S43" s="147">
        <f>+R43</f>
        <v>350000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159730</v>
      </c>
      <c r="C45" s="147">
        <v>159730</v>
      </c>
      <c r="D45" s="147"/>
      <c r="E45" s="147">
        <f t="shared" ref="E45:E53" si="18">+C45-SUM(F45:Q45)</f>
        <v>0</v>
      </c>
      <c r="F45" s="147"/>
      <c r="G45" s="147"/>
      <c r="H45" s="147">
        <v>159730</v>
      </c>
      <c r="I45" s="147"/>
      <c r="J45" s="147"/>
      <c r="K45" s="147"/>
      <c r="L45" s="147"/>
      <c r="M45" s="147"/>
      <c r="N45" s="147"/>
      <c r="O45" s="147"/>
      <c r="P45" s="147"/>
      <c r="Q45" s="147"/>
      <c r="R45" s="516">
        <f t="shared" ref="R45:R53" si="19">SUM(E45:Q45)</f>
        <v>159730</v>
      </c>
      <c r="S45" s="147">
        <f t="shared" ref="S45:S53" si="20">+R45</f>
        <v>159730</v>
      </c>
      <c r="T45" s="147"/>
      <c r="U45" s="143"/>
    </row>
    <row r="46" spans="1:21" s="144" customFormat="1">
      <c r="A46" s="145" t="s">
        <v>151</v>
      </c>
      <c r="B46" s="146">
        <f t="shared" si="17"/>
        <v>96414</v>
      </c>
      <c r="C46" s="147">
        <v>96414</v>
      </c>
      <c r="D46" s="147"/>
      <c r="E46" s="147">
        <f t="shared" si="18"/>
        <v>96414</v>
      </c>
      <c r="F46" s="147"/>
      <c r="G46" s="147"/>
      <c r="H46" s="147"/>
      <c r="I46" s="147"/>
      <c r="J46" s="147"/>
      <c r="K46" s="147"/>
      <c r="L46" s="147"/>
      <c r="M46" s="147"/>
      <c r="N46" s="147"/>
      <c r="O46" s="147"/>
      <c r="P46" s="147"/>
      <c r="Q46" s="147"/>
      <c r="R46" s="516">
        <f t="shared" si="19"/>
        <v>96414</v>
      </c>
      <c r="S46" s="147">
        <f t="shared" si="20"/>
        <v>96414</v>
      </c>
      <c r="T46" s="147"/>
      <c r="U46" s="143"/>
    </row>
    <row r="47" spans="1:21" s="144" customFormat="1">
      <c r="A47" s="186" t="s">
        <v>152</v>
      </c>
      <c r="B47" s="146">
        <f t="shared" si="17"/>
        <v>35000</v>
      </c>
      <c r="C47" s="147">
        <v>35000</v>
      </c>
      <c r="D47" s="147"/>
      <c r="E47" s="147">
        <f t="shared" si="18"/>
        <v>35000</v>
      </c>
      <c r="F47" s="147"/>
      <c r="G47" s="147"/>
      <c r="H47" s="147"/>
      <c r="I47" s="147"/>
      <c r="J47" s="147"/>
      <c r="K47" s="147"/>
      <c r="L47" s="147"/>
      <c r="M47" s="147"/>
      <c r="N47" s="147"/>
      <c r="O47" s="147"/>
      <c r="P47" s="147"/>
      <c r="Q47" s="147"/>
      <c r="R47" s="516">
        <f t="shared" si="19"/>
        <v>35000</v>
      </c>
      <c r="S47" s="147">
        <f t="shared" si="20"/>
        <v>35000</v>
      </c>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6">
        <f t="shared" si="19"/>
        <v>0</v>
      </c>
      <c r="S48" s="147">
        <f t="shared" si="20"/>
        <v>0</v>
      </c>
      <c r="T48" s="147"/>
      <c r="U48" s="143"/>
    </row>
    <row r="49" spans="1:21" s="144" customFormat="1">
      <c r="A49" s="145" t="s">
        <v>57</v>
      </c>
      <c r="B49" s="146">
        <f t="shared" si="17"/>
        <v>0</v>
      </c>
      <c r="C49" s="147"/>
      <c r="D49" s="147"/>
      <c r="E49" s="147">
        <f t="shared" si="18"/>
        <v>0</v>
      </c>
      <c r="F49" s="147"/>
      <c r="G49" s="147"/>
      <c r="H49" s="147"/>
      <c r="I49" s="147"/>
      <c r="J49" s="147"/>
      <c r="K49" s="147"/>
      <c r="L49" s="147"/>
      <c r="M49" s="147"/>
      <c r="N49" s="147"/>
      <c r="O49" s="147"/>
      <c r="P49" s="147"/>
      <c r="Q49" s="147"/>
      <c r="R49" s="516">
        <f t="shared" si="19"/>
        <v>0</v>
      </c>
      <c r="S49" s="147">
        <f t="shared" si="20"/>
        <v>0</v>
      </c>
      <c r="T49" s="147"/>
      <c r="U49" s="143"/>
    </row>
    <row r="50" spans="1:21" s="144" customFormat="1">
      <c r="A50" s="145" t="s">
        <v>156</v>
      </c>
      <c r="B50" s="146">
        <f t="shared" si="17"/>
        <v>40000</v>
      </c>
      <c r="C50" s="147">
        <v>40000</v>
      </c>
      <c r="D50" s="147"/>
      <c r="E50" s="147">
        <f t="shared" si="18"/>
        <v>40000</v>
      </c>
      <c r="F50" s="147"/>
      <c r="G50" s="147"/>
      <c r="H50" s="147"/>
      <c r="I50" s="147"/>
      <c r="J50" s="147"/>
      <c r="K50" s="147"/>
      <c r="L50" s="147"/>
      <c r="M50" s="147"/>
      <c r="N50" s="147"/>
      <c r="O50" s="147"/>
      <c r="P50" s="147"/>
      <c r="Q50" s="147"/>
      <c r="R50" s="516">
        <f t="shared" si="19"/>
        <v>40000</v>
      </c>
      <c r="S50" s="147">
        <f t="shared" si="20"/>
        <v>40000</v>
      </c>
      <c r="T50" s="147"/>
      <c r="U50" s="143"/>
    </row>
    <row r="51" spans="1:21" s="144" customFormat="1">
      <c r="A51" s="283" t="s">
        <v>154</v>
      </c>
      <c r="B51" s="146">
        <f t="shared" si="17"/>
        <v>11070</v>
      </c>
      <c r="C51" s="147">
        <v>11070</v>
      </c>
      <c r="D51" s="147"/>
      <c r="E51" s="147">
        <f t="shared" si="18"/>
        <v>11070</v>
      </c>
      <c r="F51" s="147"/>
      <c r="G51" s="147"/>
      <c r="H51" s="147"/>
      <c r="I51" s="147"/>
      <c r="J51" s="147"/>
      <c r="K51" s="147"/>
      <c r="L51" s="147"/>
      <c r="M51" s="147"/>
      <c r="N51" s="147"/>
      <c r="O51" s="147"/>
      <c r="P51" s="147"/>
      <c r="Q51" s="147"/>
      <c r="R51" s="516">
        <f t="shared" si="19"/>
        <v>11070</v>
      </c>
      <c r="S51" s="147">
        <f t="shared" si="20"/>
        <v>11070</v>
      </c>
      <c r="T51" s="147"/>
      <c r="U51" s="143"/>
    </row>
    <row r="52" spans="1:21" s="144" customFormat="1">
      <c r="A52" s="145" t="s">
        <v>155</v>
      </c>
      <c r="B52" s="146">
        <f t="shared" si="17"/>
        <v>0</v>
      </c>
      <c r="C52" s="147"/>
      <c r="D52" s="147"/>
      <c r="E52" s="147">
        <f t="shared" si="18"/>
        <v>0</v>
      </c>
      <c r="F52" s="147"/>
      <c r="G52" s="147"/>
      <c r="H52" s="147"/>
      <c r="I52" s="147"/>
      <c r="J52" s="147"/>
      <c r="K52" s="147"/>
      <c r="L52" s="147"/>
      <c r="M52" s="147"/>
      <c r="N52" s="147"/>
      <c r="O52" s="147"/>
      <c r="P52" s="147"/>
      <c r="Q52" s="147"/>
      <c r="R52" s="516">
        <f t="shared" si="19"/>
        <v>0</v>
      </c>
      <c r="S52" s="147">
        <f t="shared" si="20"/>
        <v>0</v>
      </c>
      <c r="T52" s="147"/>
      <c r="U52" s="143"/>
    </row>
    <row r="53" spans="1:21" s="144" customFormat="1">
      <c r="A53" s="1149" t="s">
        <v>2691</v>
      </c>
      <c r="B53" s="146">
        <f t="shared" si="17"/>
        <v>20000</v>
      </c>
      <c r="C53" s="147">
        <v>20000</v>
      </c>
      <c r="D53" s="147"/>
      <c r="E53" s="147">
        <f t="shared" si="18"/>
        <v>20000</v>
      </c>
      <c r="F53" s="147"/>
      <c r="G53" s="147"/>
      <c r="H53" s="147"/>
      <c r="I53" s="147"/>
      <c r="J53" s="147"/>
      <c r="K53" s="147"/>
      <c r="L53" s="147"/>
      <c r="M53" s="147"/>
      <c r="N53" s="147"/>
      <c r="O53" s="147"/>
      <c r="P53" s="147"/>
      <c r="Q53" s="147"/>
      <c r="R53" s="516">
        <f t="shared" si="19"/>
        <v>20000</v>
      </c>
      <c r="S53" s="147">
        <f t="shared" si="20"/>
        <v>20000</v>
      </c>
      <c r="T53" s="147"/>
      <c r="U53" s="143"/>
    </row>
    <row r="54" spans="1:21" s="153" customFormat="1">
      <c r="A54" s="149" t="s">
        <v>157</v>
      </c>
      <c r="B54" s="150">
        <f>SUM(C54:D54)</f>
        <v>362214</v>
      </c>
      <c r="C54" s="150">
        <f t="shared" ref="C54:T54" si="21">SUM(C45:C53)</f>
        <v>362214</v>
      </c>
      <c r="D54" s="150">
        <f t="shared" si="21"/>
        <v>0</v>
      </c>
      <c r="E54" s="150">
        <f t="shared" si="21"/>
        <v>202484</v>
      </c>
      <c r="F54" s="150">
        <f t="shared" si="21"/>
        <v>0</v>
      </c>
      <c r="G54" s="150">
        <f t="shared" si="21"/>
        <v>0</v>
      </c>
      <c r="H54" s="150">
        <f t="shared" si="21"/>
        <v>159730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42">
        <f t="shared" si="21"/>
        <v>362214</v>
      </c>
      <c r="S54" s="150">
        <f t="shared" si="21"/>
        <v>362214</v>
      </c>
      <c r="T54" s="150">
        <f t="shared" si="21"/>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0</v>
      </c>
      <c r="C56" s="147"/>
      <c r="D56" s="147"/>
      <c r="E56" s="147">
        <f t="shared" ref="E56:E61" si="23">+C56-SUM(F56:Q56)</f>
        <v>0</v>
      </c>
      <c r="F56" s="147"/>
      <c r="G56" s="147"/>
      <c r="H56" s="147"/>
      <c r="I56" s="147"/>
      <c r="J56" s="147"/>
      <c r="K56" s="147"/>
      <c r="L56" s="147"/>
      <c r="M56" s="147"/>
      <c r="N56" s="147"/>
      <c r="O56" s="147"/>
      <c r="P56" s="147"/>
      <c r="Q56" s="147"/>
      <c r="R56" s="516">
        <f t="shared" ref="R56:R61" si="24">SUM(E56:Q56)</f>
        <v>0</v>
      </c>
      <c r="S56" s="148"/>
      <c r="T56" s="148"/>
      <c r="U56" s="143"/>
    </row>
    <row r="57" spans="1:21" s="192" customFormat="1">
      <c r="A57" s="186" t="s">
        <v>152</v>
      </c>
      <c r="B57" s="193">
        <f t="shared" si="22"/>
        <v>10000</v>
      </c>
      <c r="C57" s="190">
        <v>10000</v>
      </c>
      <c r="D57" s="190"/>
      <c r="E57" s="190">
        <f t="shared" si="23"/>
        <v>10000</v>
      </c>
      <c r="F57" s="190"/>
      <c r="G57" s="190"/>
      <c r="H57" s="190"/>
      <c r="I57" s="190"/>
      <c r="J57" s="190"/>
      <c r="K57" s="190"/>
      <c r="L57" s="190"/>
      <c r="M57" s="190"/>
      <c r="N57" s="190"/>
      <c r="O57" s="190"/>
      <c r="P57" s="190"/>
      <c r="Q57" s="190"/>
      <c r="R57" s="516">
        <f t="shared" si="24"/>
        <v>10000</v>
      </c>
      <c r="S57" s="194"/>
      <c r="T57" s="194"/>
      <c r="U57" s="191"/>
    </row>
    <row r="58" spans="1:21" s="144" customFormat="1">
      <c r="A58" s="145" t="s">
        <v>156</v>
      </c>
      <c r="B58" s="146">
        <f t="shared" si="22"/>
        <v>5000</v>
      </c>
      <c r="C58" s="147">
        <v>5000</v>
      </c>
      <c r="D58" s="147"/>
      <c r="E58" s="147">
        <f t="shared" si="23"/>
        <v>5000</v>
      </c>
      <c r="F58" s="147"/>
      <c r="G58" s="147"/>
      <c r="H58" s="147"/>
      <c r="I58" s="147"/>
      <c r="J58" s="147"/>
      <c r="K58" s="147"/>
      <c r="L58" s="147"/>
      <c r="M58" s="147"/>
      <c r="N58" s="147"/>
      <c r="O58" s="147"/>
      <c r="P58" s="147"/>
      <c r="Q58" s="147"/>
      <c r="R58" s="516">
        <f t="shared" si="24"/>
        <v>5000</v>
      </c>
      <c r="S58" s="148"/>
      <c r="T58" s="148"/>
      <c r="U58" s="143"/>
    </row>
    <row r="59" spans="1:21" s="144" customFormat="1">
      <c r="A59" s="283" t="s">
        <v>154</v>
      </c>
      <c r="B59" s="146">
        <f t="shared" si="22"/>
        <v>0</v>
      </c>
      <c r="C59" s="147"/>
      <c r="D59" s="147"/>
      <c r="E59" s="147">
        <f t="shared" si="23"/>
        <v>0</v>
      </c>
      <c r="F59" s="147"/>
      <c r="G59" s="147"/>
      <c r="H59" s="147"/>
      <c r="I59" s="147"/>
      <c r="J59" s="147"/>
      <c r="K59" s="147"/>
      <c r="L59" s="147"/>
      <c r="M59" s="147"/>
      <c r="N59" s="147"/>
      <c r="O59" s="147"/>
      <c r="P59" s="147"/>
      <c r="Q59" s="147"/>
      <c r="R59" s="516">
        <f t="shared" si="24"/>
        <v>0</v>
      </c>
      <c r="S59" s="148"/>
      <c r="T59" s="148"/>
      <c r="U59" s="143"/>
    </row>
    <row r="60" spans="1:21" s="144" customFormat="1">
      <c r="A60" s="145" t="s">
        <v>155</v>
      </c>
      <c r="B60" s="146">
        <f t="shared" si="22"/>
        <v>0</v>
      </c>
      <c r="C60" s="147"/>
      <c r="D60" s="147"/>
      <c r="E60" s="147">
        <f t="shared" si="23"/>
        <v>0</v>
      </c>
      <c r="F60" s="147"/>
      <c r="G60" s="147"/>
      <c r="H60" s="147"/>
      <c r="I60" s="147"/>
      <c r="J60" s="147"/>
      <c r="K60" s="147"/>
      <c r="L60" s="147"/>
      <c r="M60" s="147"/>
      <c r="N60" s="147"/>
      <c r="O60" s="147"/>
      <c r="P60" s="147"/>
      <c r="Q60" s="147"/>
      <c r="R60" s="516">
        <f t="shared" si="24"/>
        <v>0</v>
      </c>
      <c r="S60" s="148"/>
      <c r="T60" s="148"/>
      <c r="U60" s="143"/>
    </row>
    <row r="61" spans="1:21" s="144" customFormat="1">
      <c r="A61" s="1149" t="s">
        <v>2692</v>
      </c>
      <c r="B61" s="146">
        <f t="shared" si="22"/>
        <v>165516</v>
      </c>
      <c r="C61" s="147">
        <v>165516</v>
      </c>
      <c r="D61" s="147"/>
      <c r="E61" s="147">
        <f t="shared" si="23"/>
        <v>165516</v>
      </c>
      <c r="F61" s="147"/>
      <c r="G61" s="147"/>
      <c r="H61" s="147"/>
      <c r="I61" s="147"/>
      <c r="J61" s="147"/>
      <c r="K61" s="147"/>
      <c r="L61" s="147"/>
      <c r="M61" s="147"/>
      <c r="N61" s="147"/>
      <c r="O61" s="147"/>
      <c r="P61" s="147"/>
      <c r="Q61" s="147"/>
      <c r="R61" s="516">
        <f t="shared" si="24"/>
        <v>165516</v>
      </c>
      <c r="S61" s="148"/>
      <c r="T61" s="148"/>
      <c r="U61" s="143"/>
    </row>
    <row r="62" spans="1:21" s="144" customFormat="1" ht="13.7" customHeight="1">
      <c r="A62" s="149" t="s">
        <v>301</v>
      </c>
      <c r="B62" s="146">
        <f>SUM(C62:D62)</f>
        <v>180516</v>
      </c>
      <c r="C62" s="146">
        <f t="shared" ref="C62:R62" si="25">SUM(C56:C61)</f>
        <v>180516</v>
      </c>
      <c r="D62" s="146">
        <f t="shared" si="25"/>
        <v>0</v>
      </c>
      <c r="E62" s="146">
        <f t="shared" si="25"/>
        <v>180516</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42">
        <f t="shared" si="25"/>
        <v>180516</v>
      </c>
      <c r="S62" s="148"/>
      <c r="T62" s="148"/>
      <c r="U62" s="143"/>
    </row>
    <row r="63" spans="1:21" s="144" customFormat="1">
      <c r="A63" s="154" t="s">
        <v>302</v>
      </c>
      <c r="B63" s="146">
        <f t="shared" ref="B63:R63" si="26">SUM(B8+B11+B13+B14+B15+B26+B27+B38+B42+B43+B54+B62)</f>
        <v>14337882</v>
      </c>
      <c r="C63" s="146">
        <f t="shared" si="26"/>
        <v>14337882</v>
      </c>
      <c r="D63" s="146">
        <f t="shared" si="26"/>
        <v>0</v>
      </c>
      <c r="E63" s="146">
        <f t="shared" si="26"/>
        <v>6920039</v>
      </c>
      <c r="F63" s="146">
        <f t="shared" si="26"/>
        <v>1334703</v>
      </c>
      <c r="G63" s="146">
        <f t="shared" si="26"/>
        <v>5923410</v>
      </c>
      <c r="H63" s="146">
        <f t="shared" si="26"/>
        <v>159730</v>
      </c>
      <c r="I63" s="146">
        <f t="shared" si="26"/>
        <v>0</v>
      </c>
      <c r="J63" s="146">
        <f t="shared" si="26"/>
        <v>0</v>
      </c>
      <c r="K63" s="146">
        <f t="shared" si="26"/>
        <v>0</v>
      </c>
      <c r="L63" s="146">
        <f t="shared" si="26"/>
        <v>0</v>
      </c>
      <c r="M63" s="146">
        <f t="shared" si="26"/>
        <v>0</v>
      </c>
      <c r="N63" s="146">
        <f t="shared" si="26"/>
        <v>0</v>
      </c>
      <c r="O63" s="146">
        <f t="shared" si="26"/>
        <v>0</v>
      </c>
      <c r="P63" s="146">
        <f t="shared" si="26"/>
        <v>0</v>
      </c>
      <c r="Q63" s="146">
        <f t="shared" si="26"/>
        <v>0</v>
      </c>
      <c r="R63" s="342">
        <f t="shared" si="26"/>
        <v>14337882</v>
      </c>
      <c r="S63" s="146">
        <f>SUM(S10+S13+S14+S15+S26+S27+S38+S42+S43+S54)</f>
        <v>10732366</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7">+C65-SUM(F65:Q65)</f>
        <v>0</v>
      </c>
      <c r="F65" s="147"/>
      <c r="G65" s="147">
        <v>65000</v>
      </c>
      <c r="H65" s="147"/>
      <c r="I65" s="147"/>
      <c r="J65" s="147"/>
      <c r="K65" s="147"/>
      <c r="L65" s="147"/>
      <c r="M65" s="147"/>
      <c r="N65" s="147"/>
      <c r="O65" s="147"/>
      <c r="P65" s="147"/>
      <c r="Q65" s="147"/>
      <c r="R65" s="516">
        <f>SUM(E65:Q65)</f>
        <v>65000</v>
      </c>
      <c r="S65" s="147">
        <f t="shared" ref="S65:S69" si="28">+R65</f>
        <v>65000</v>
      </c>
      <c r="T65" s="147"/>
      <c r="U65" s="143"/>
    </row>
    <row r="66" spans="1:21" s="144" customFormat="1" ht="24" customHeight="1">
      <c r="A66" s="283" t="s">
        <v>1642</v>
      </c>
      <c r="B66" s="146">
        <f>SUM(C66+D66)</f>
        <v>0</v>
      </c>
      <c r="C66" s="147"/>
      <c r="D66" s="147"/>
      <c r="E66" s="147">
        <f t="shared" si="27"/>
        <v>0</v>
      </c>
      <c r="F66" s="147"/>
      <c r="G66" s="147"/>
      <c r="H66" s="147"/>
      <c r="I66" s="147"/>
      <c r="J66" s="147"/>
      <c r="K66" s="147"/>
      <c r="L66" s="147"/>
      <c r="M66" s="147"/>
      <c r="N66" s="147"/>
      <c r="O66" s="147"/>
      <c r="P66" s="147"/>
      <c r="Q66" s="147"/>
      <c r="R66" s="516">
        <f>SUM(E66:Q66)</f>
        <v>0</v>
      </c>
      <c r="S66" s="147">
        <f t="shared" si="28"/>
        <v>0</v>
      </c>
      <c r="T66" s="147"/>
      <c r="U66" s="143"/>
    </row>
    <row r="67" spans="1:21" s="144" customFormat="1" ht="24" customHeight="1">
      <c r="A67" s="283" t="s">
        <v>1643</v>
      </c>
      <c r="B67" s="146">
        <f>SUM(C67+D67)</f>
        <v>0</v>
      </c>
      <c r="C67" s="147"/>
      <c r="D67" s="147"/>
      <c r="E67" s="147">
        <f t="shared" si="27"/>
        <v>0</v>
      </c>
      <c r="F67" s="147"/>
      <c r="G67" s="147"/>
      <c r="H67" s="147"/>
      <c r="I67" s="147"/>
      <c r="J67" s="147"/>
      <c r="K67" s="147"/>
      <c r="L67" s="147"/>
      <c r="M67" s="147"/>
      <c r="N67" s="147"/>
      <c r="O67" s="147"/>
      <c r="P67" s="147"/>
      <c r="Q67" s="147"/>
      <c r="R67" s="516">
        <f>SUM(E67:Q67)</f>
        <v>0</v>
      </c>
      <c r="S67" s="147">
        <f t="shared" si="28"/>
        <v>0</v>
      </c>
      <c r="T67" s="147"/>
      <c r="U67" s="143"/>
    </row>
    <row r="68" spans="1:21" s="144" customFormat="1" ht="12" customHeight="1">
      <c r="A68" s="283" t="s">
        <v>1649</v>
      </c>
      <c r="B68" s="146">
        <f>SUM(C68+D68)</f>
        <v>0</v>
      </c>
      <c r="C68" s="147"/>
      <c r="D68" s="147"/>
      <c r="E68" s="147">
        <f t="shared" si="27"/>
        <v>0</v>
      </c>
      <c r="F68" s="147"/>
      <c r="G68" s="147"/>
      <c r="H68" s="147"/>
      <c r="I68" s="147"/>
      <c r="J68" s="147"/>
      <c r="K68" s="147"/>
      <c r="L68" s="147"/>
      <c r="M68" s="147"/>
      <c r="N68" s="147"/>
      <c r="O68" s="147"/>
      <c r="P68" s="147"/>
      <c r="Q68" s="147"/>
      <c r="R68" s="516">
        <f>SUM(E68:Q68)</f>
        <v>0</v>
      </c>
      <c r="S68" s="147">
        <f t="shared" si="28"/>
        <v>0</v>
      </c>
      <c r="T68" s="147"/>
      <c r="U68" s="143"/>
    </row>
    <row r="69" spans="1:21" s="144" customFormat="1">
      <c r="A69" s="1149" t="s">
        <v>2693</v>
      </c>
      <c r="B69" s="146">
        <f>SUM(C69+D69)</f>
        <v>50000</v>
      </c>
      <c r="C69" s="147">
        <v>50000</v>
      </c>
      <c r="D69" s="147"/>
      <c r="E69" s="147">
        <f t="shared" si="27"/>
        <v>0</v>
      </c>
      <c r="F69" s="147"/>
      <c r="G69" s="147">
        <v>50000</v>
      </c>
      <c r="H69" s="147"/>
      <c r="I69" s="147"/>
      <c r="J69" s="147"/>
      <c r="K69" s="147"/>
      <c r="L69" s="147"/>
      <c r="M69" s="147"/>
      <c r="N69" s="147"/>
      <c r="O69" s="147"/>
      <c r="P69" s="147"/>
      <c r="Q69" s="147"/>
      <c r="R69" s="516">
        <f>SUM(E69:Q69)</f>
        <v>50000</v>
      </c>
      <c r="S69" s="147">
        <f t="shared" si="28"/>
        <v>50000</v>
      </c>
      <c r="T69" s="147"/>
      <c r="U69" s="143"/>
    </row>
    <row r="70" spans="1:21" s="144" customFormat="1">
      <c r="A70" s="149" t="s">
        <v>1646</v>
      </c>
      <c r="B70" s="146">
        <f>SUM(C70:D70)</f>
        <v>115000</v>
      </c>
      <c r="C70" s="146">
        <f>SUM(C65:C69)</f>
        <v>115000</v>
      </c>
      <c r="D70" s="146">
        <f>SUM(D65:D69)</f>
        <v>0</v>
      </c>
      <c r="E70" s="146">
        <f t="shared" ref="E70:T70" si="29">SUM(E65:E69)</f>
        <v>0</v>
      </c>
      <c r="F70" s="146">
        <f t="shared" si="29"/>
        <v>0</v>
      </c>
      <c r="G70" s="146">
        <f t="shared" si="29"/>
        <v>115000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42">
        <f t="shared" si="29"/>
        <v>115000</v>
      </c>
      <c r="S70" s="150">
        <f t="shared" si="29"/>
        <v>115000</v>
      </c>
      <c r="T70" s="150">
        <f t="shared" si="29"/>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30">+C72-SUM(F72:Q72)</f>
        <v>0</v>
      </c>
      <c r="F72" s="147"/>
      <c r="G72" s="147"/>
      <c r="H72" s="147">
        <v>30000</v>
      </c>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30"/>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30"/>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108795</v>
      </c>
      <c r="C75" s="147">
        <v>108795</v>
      </c>
      <c r="D75" s="147"/>
      <c r="E75" s="147">
        <f t="shared" si="30"/>
        <v>-25</v>
      </c>
      <c r="F75" s="147"/>
      <c r="G75" s="147"/>
      <c r="H75" s="147">
        <v>108820</v>
      </c>
      <c r="I75" s="147"/>
      <c r="J75" s="147"/>
      <c r="K75" s="147"/>
      <c r="L75" s="147"/>
      <c r="M75" s="147"/>
      <c r="N75" s="147"/>
      <c r="O75" s="147"/>
      <c r="P75" s="147"/>
      <c r="Q75" s="147"/>
      <c r="R75" s="516">
        <f>SUM(E75:Q75)</f>
        <v>108795</v>
      </c>
      <c r="S75" s="148"/>
      <c r="T75" s="148"/>
      <c r="U75" s="143"/>
    </row>
    <row r="76" spans="1:21" s="144" customFormat="1">
      <c r="A76" s="1149" t="s">
        <v>2694</v>
      </c>
      <c r="B76" s="146">
        <f>SUM(C76+D76)</f>
        <v>261750</v>
      </c>
      <c r="C76" s="147">
        <v>261750</v>
      </c>
      <c r="D76" s="147"/>
      <c r="E76" s="147">
        <f t="shared" si="30"/>
        <v>261750</v>
      </c>
      <c r="F76" s="147"/>
      <c r="G76" s="147"/>
      <c r="H76" s="147"/>
      <c r="I76" s="147"/>
      <c r="J76" s="147"/>
      <c r="K76" s="147"/>
      <c r="L76" s="147"/>
      <c r="M76" s="147"/>
      <c r="N76" s="147"/>
      <c r="O76" s="147"/>
      <c r="P76" s="147"/>
      <c r="Q76" s="147"/>
      <c r="R76" s="516">
        <f>SUM(E76:Q76)</f>
        <v>261750</v>
      </c>
      <c r="S76" s="148"/>
      <c r="T76" s="148"/>
      <c r="U76" s="143"/>
    </row>
    <row r="77" spans="1:21" s="144" customFormat="1">
      <c r="A77" s="149" t="s">
        <v>607</v>
      </c>
      <c r="B77" s="146">
        <f>SUM(C77:D77)</f>
        <v>400545</v>
      </c>
      <c r="C77" s="146">
        <f>SUM(C72:C76)</f>
        <v>400545</v>
      </c>
      <c r="D77" s="146">
        <f>SUM(D72:D76)</f>
        <v>0</v>
      </c>
      <c r="E77" s="146">
        <f t="shared" ref="E77:Q77" si="31">SUM(E72:E76)</f>
        <v>261725</v>
      </c>
      <c r="F77" s="146">
        <f t="shared" si="31"/>
        <v>0</v>
      </c>
      <c r="G77" s="146">
        <f t="shared" si="31"/>
        <v>0</v>
      </c>
      <c r="H77" s="146">
        <f t="shared" si="31"/>
        <v>138820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42">
        <f>SUM(R72:R76)</f>
        <v>400545</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942015</v>
      </c>
      <c r="C79" s="147">
        <v>942015</v>
      </c>
      <c r="D79" s="147"/>
      <c r="E79" s="147">
        <f t="shared" ref="E79:E80" si="32">+C79-SUM(F79:Q79)</f>
        <v>942015</v>
      </c>
      <c r="F79" s="147"/>
      <c r="G79" s="147"/>
      <c r="H79" s="147"/>
      <c r="I79" s="147"/>
      <c r="J79" s="147"/>
      <c r="K79" s="147"/>
      <c r="L79" s="147"/>
      <c r="M79" s="147"/>
      <c r="N79" s="147"/>
      <c r="O79" s="147"/>
      <c r="P79" s="147"/>
      <c r="Q79" s="147"/>
      <c r="R79" s="516">
        <f>SUM(E79:Q79)</f>
        <v>942015</v>
      </c>
      <c r="S79" s="147">
        <f t="shared" ref="S79:S80" si="33">+R79</f>
        <v>942015</v>
      </c>
      <c r="T79" s="147"/>
      <c r="U79" s="143"/>
    </row>
    <row r="80" spans="1:21" s="144" customFormat="1">
      <c r="A80" s="283" t="s">
        <v>58</v>
      </c>
      <c r="B80" s="146">
        <f>SUM(C80:D80)</f>
        <v>108106</v>
      </c>
      <c r="C80" s="147">
        <v>108106</v>
      </c>
      <c r="D80" s="147"/>
      <c r="E80" s="147">
        <f t="shared" si="32"/>
        <v>108106</v>
      </c>
      <c r="F80" s="147"/>
      <c r="G80" s="147"/>
      <c r="H80" s="147"/>
      <c r="I80" s="147"/>
      <c r="J80" s="147"/>
      <c r="K80" s="147"/>
      <c r="L80" s="147"/>
      <c r="M80" s="147"/>
      <c r="N80" s="147"/>
      <c r="O80" s="147"/>
      <c r="P80" s="147"/>
      <c r="Q80" s="147"/>
      <c r="R80" s="516">
        <f>SUM(E80:Q80)</f>
        <v>108106</v>
      </c>
      <c r="S80" s="147">
        <f t="shared" si="33"/>
        <v>108106</v>
      </c>
      <c r="T80" s="147"/>
      <c r="U80" s="143"/>
    </row>
    <row r="81" spans="1:21" s="144" customFormat="1">
      <c r="A81" s="149" t="s">
        <v>1210</v>
      </c>
      <c r="B81" s="146">
        <f>SUM(C81:D81)</f>
        <v>1050121</v>
      </c>
      <c r="C81" s="509">
        <f>SUM(C79:C80)</f>
        <v>1050121</v>
      </c>
      <c r="D81" s="509">
        <f t="shared" ref="D81:T81" si="34">SUM(D79:D80)</f>
        <v>0</v>
      </c>
      <c r="E81" s="509">
        <f t="shared" si="34"/>
        <v>1050121</v>
      </c>
      <c r="F81" s="509">
        <f t="shared" si="34"/>
        <v>0</v>
      </c>
      <c r="G81" s="509">
        <f t="shared" si="34"/>
        <v>0</v>
      </c>
      <c r="H81" s="509">
        <f t="shared" si="34"/>
        <v>0</v>
      </c>
      <c r="I81" s="509">
        <f t="shared" si="34"/>
        <v>0</v>
      </c>
      <c r="J81" s="509">
        <f t="shared" si="34"/>
        <v>0</v>
      </c>
      <c r="K81" s="509">
        <f t="shared" si="34"/>
        <v>0</v>
      </c>
      <c r="L81" s="509">
        <f t="shared" si="34"/>
        <v>0</v>
      </c>
      <c r="M81" s="509">
        <f t="shared" si="34"/>
        <v>0</v>
      </c>
      <c r="N81" s="509">
        <f t="shared" si="34"/>
        <v>0</v>
      </c>
      <c r="O81" s="509">
        <f t="shared" si="34"/>
        <v>0</v>
      </c>
      <c r="P81" s="509">
        <f t="shared" si="34"/>
        <v>0</v>
      </c>
      <c r="Q81" s="509">
        <f t="shared" si="34"/>
        <v>0</v>
      </c>
      <c r="R81" s="509">
        <f t="shared" si="34"/>
        <v>1050121</v>
      </c>
      <c r="S81" s="509">
        <f t="shared" si="34"/>
        <v>1050121</v>
      </c>
      <c r="T81" s="509">
        <f t="shared" si="34"/>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5">SUM(C83+D83)</f>
        <v>51996</v>
      </c>
      <c r="C83" s="147">
        <v>51996</v>
      </c>
      <c r="D83" s="147"/>
      <c r="E83" s="147">
        <f t="shared" ref="E83:E95" si="36">+C83-SUM(F83:Q83)</f>
        <v>20</v>
      </c>
      <c r="F83" s="147"/>
      <c r="G83" s="147"/>
      <c r="H83" s="147">
        <v>51976</v>
      </c>
      <c r="I83" s="147"/>
      <c r="J83" s="147"/>
      <c r="K83" s="147"/>
      <c r="L83" s="147"/>
      <c r="M83" s="147"/>
      <c r="N83" s="147"/>
      <c r="O83" s="147"/>
      <c r="P83" s="147"/>
      <c r="Q83" s="147"/>
      <c r="R83" s="516">
        <f t="shared" ref="R83:R95" si="37">SUM(E83:Q83)</f>
        <v>51996</v>
      </c>
      <c r="S83" s="148"/>
      <c r="T83" s="148"/>
      <c r="U83" s="143"/>
    </row>
    <row r="84" spans="1:21" s="144" customFormat="1">
      <c r="A84" s="145" t="s">
        <v>768</v>
      </c>
      <c r="B84" s="146">
        <f t="shared" si="35"/>
        <v>7000</v>
      </c>
      <c r="C84" s="147">
        <v>7000</v>
      </c>
      <c r="D84" s="147"/>
      <c r="E84" s="147">
        <f t="shared" si="36"/>
        <v>0</v>
      </c>
      <c r="F84" s="147"/>
      <c r="G84" s="147"/>
      <c r="H84" s="147">
        <v>7000</v>
      </c>
      <c r="I84" s="147"/>
      <c r="J84" s="147"/>
      <c r="K84" s="147"/>
      <c r="L84" s="147"/>
      <c r="M84" s="147"/>
      <c r="N84" s="147"/>
      <c r="O84" s="147"/>
      <c r="P84" s="147"/>
      <c r="Q84" s="147"/>
      <c r="R84" s="516">
        <f t="shared" si="37"/>
        <v>7000</v>
      </c>
      <c r="S84" s="147">
        <f t="shared" ref="S84:S86" si="38">+R84</f>
        <v>7000</v>
      </c>
      <c r="T84" s="147"/>
      <c r="U84" s="143"/>
    </row>
    <row r="85" spans="1:21" s="144" customFormat="1">
      <c r="A85" s="145" t="s">
        <v>769</v>
      </c>
      <c r="B85" s="146">
        <f t="shared" si="35"/>
        <v>8114</v>
      </c>
      <c r="C85" s="147">
        <v>8114</v>
      </c>
      <c r="D85" s="147"/>
      <c r="E85" s="147">
        <f t="shared" si="36"/>
        <v>8114</v>
      </c>
      <c r="F85" s="147"/>
      <c r="G85" s="147"/>
      <c r="H85" s="147"/>
      <c r="I85" s="147"/>
      <c r="J85" s="147"/>
      <c r="K85" s="147"/>
      <c r="L85" s="147"/>
      <c r="M85" s="147"/>
      <c r="N85" s="147"/>
      <c r="O85" s="147"/>
      <c r="P85" s="147"/>
      <c r="Q85" s="147"/>
      <c r="R85" s="516">
        <f t="shared" si="37"/>
        <v>8114</v>
      </c>
      <c r="S85" s="147">
        <f t="shared" si="38"/>
        <v>8114</v>
      </c>
      <c r="T85" s="147"/>
      <c r="U85" s="143"/>
    </row>
    <row r="86" spans="1:21" s="144" customFormat="1">
      <c r="A86" s="145" t="s">
        <v>770</v>
      </c>
      <c r="B86" s="146">
        <f t="shared" si="35"/>
        <v>791886</v>
      </c>
      <c r="C86" s="147">
        <f>800000-8114</f>
        <v>791886</v>
      </c>
      <c r="D86" s="147"/>
      <c r="E86" s="147">
        <f t="shared" si="36"/>
        <v>39662</v>
      </c>
      <c r="F86" s="147"/>
      <c r="G86" s="147">
        <f>501590-115000</f>
        <v>386590</v>
      </c>
      <c r="H86" s="147">
        <f>1203191-837557</f>
        <v>365634</v>
      </c>
      <c r="I86" s="147"/>
      <c r="J86" s="147"/>
      <c r="K86" s="147"/>
      <c r="L86" s="147"/>
      <c r="M86" s="147"/>
      <c r="N86" s="147"/>
      <c r="O86" s="147"/>
      <c r="P86" s="147"/>
      <c r="Q86" s="147"/>
      <c r="R86" s="516">
        <f t="shared" si="37"/>
        <v>791886</v>
      </c>
      <c r="S86" s="147">
        <f t="shared" si="38"/>
        <v>791886</v>
      </c>
      <c r="T86" s="147"/>
      <c r="U86" s="143"/>
    </row>
    <row r="87" spans="1:21" s="144" customFormat="1">
      <c r="A87" s="145" t="s">
        <v>771</v>
      </c>
      <c r="B87" s="146">
        <f t="shared" si="35"/>
        <v>0</v>
      </c>
      <c r="C87" s="147"/>
      <c r="D87" s="147"/>
      <c r="E87" s="147">
        <f t="shared" si="36"/>
        <v>0</v>
      </c>
      <c r="F87" s="147"/>
      <c r="G87" s="147"/>
      <c r="H87" s="147"/>
      <c r="I87" s="147"/>
      <c r="J87" s="147"/>
      <c r="K87" s="147"/>
      <c r="L87" s="147"/>
      <c r="M87" s="147"/>
      <c r="N87" s="147"/>
      <c r="O87" s="147"/>
      <c r="P87" s="147"/>
      <c r="Q87" s="147"/>
      <c r="R87" s="516">
        <f t="shared" si="37"/>
        <v>0</v>
      </c>
      <c r="S87" s="147"/>
      <c r="T87" s="147"/>
      <c r="U87" s="143"/>
    </row>
    <row r="88" spans="1:21" s="144" customFormat="1">
      <c r="A88" s="145" t="s">
        <v>772</v>
      </c>
      <c r="B88" s="146">
        <f t="shared" si="35"/>
        <v>40000</v>
      </c>
      <c r="C88" s="147">
        <v>40000</v>
      </c>
      <c r="D88" s="147"/>
      <c r="E88" s="147">
        <f t="shared" si="36"/>
        <v>0</v>
      </c>
      <c r="F88" s="147"/>
      <c r="G88" s="147"/>
      <c r="H88" s="147">
        <v>40000</v>
      </c>
      <c r="I88" s="147"/>
      <c r="J88" s="147"/>
      <c r="K88" s="147"/>
      <c r="L88" s="147"/>
      <c r="M88" s="147"/>
      <c r="N88" s="147"/>
      <c r="O88" s="147"/>
      <c r="P88" s="147"/>
      <c r="Q88" s="147"/>
      <c r="R88" s="516">
        <f t="shared" si="37"/>
        <v>40000</v>
      </c>
      <c r="S88" s="148"/>
      <c r="T88" s="148"/>
      <c r="U88" s="143"/>
    </row>
    <row r="89" spans="1:21" s="144" customFormat="1">
      <c r="A89" s="145" t="s">
        <v>773</v>
      </c>
      <c r="B89" s="146">
        <f t="shared" si="35"/>
        <v>140000</v>
      </c>
      <c r="C89" s="147">
        <v>140000</v>
      </c>
      <c r="D89" s="147"/>
      <c r="E89" s="147">
        <f t="shared" si="36"/>
        <v>0</v>
      </c>
      <c r="F89" s="147"/>
      <c r="G89" s="147"/>
      <c r="H89" s="147">
        <v>140000</v>
      </c>
      <c r="I89" s="147"/>
      <c r="J89" s="147"/>
      <c r="K89" s="147"/>
      <c r="L89" s="147"/>
      <c r="M89" s="147"/>
      <c r="N89" s="147"/>
      <c r="O89" s="147"/>
      <c r="P89" s="147"/>
      <c r="Q89" s="147"/>
      <c r="R89" s="516">
        <f t="shared" si="37"/>
        <v>140000</v>
      </c>
      <c r="S89" s="147">
        <f t="shared" ref="S89:S95" si="39">+R89</f>
        <v>140000</v>
      </c>
      <c r="T89" s="147"/>
      <c r="U89" s="143"/>
    </row>
    <row r="90" spans="1:21" s="144" customFormat="1">
      <c r="A90" s="145" t="s">
        <v>774</v>
      </c>
      <c r="B90" s="146">
        <f t="shared" si="35"/>
        <v>10000</v>
      </c>
      <c r="C90" s="147">
        <v>10000</v>
      </c>
      <c r="D90" s="147"/>
      <c r="E90" s="147">
        <f t="shared" si="36"/>
        <v>0</v>
      </c>
      <c r="F90" s="147"/>
      <c r="G90" s="147"/>
      <c r="H90" s="147">
        <v>10000</v>
      </c>
      <c r="I90" s="147"/>
      <c r="J90" s="147"/>
      <c r="K90" s="147"/>
      <c r="L90" s="147"/>
      <c r="M90" s="147"/>
      <c r="N90" s="147"/>
      <c r="O90" s="147"/>
      <c r="P90" s="147"/>
      <c r="Q90" s="147"/>
      <c r="R90" s="516">
        <f t="shared" si="37"/>
        <v>10000</v>
      </c>
      <c r="S90" s="147">
        <f t="shared" si="39"/>
        <v>10000</v>
      </c>
      <c r="T90" s="147"/>
      <c r="U90" s="143"/>
    </row>
    <row r="91" spans="1:21" s="144" customFormat="1">
      <c r="A91" s="145" t="s">
        <v>372</v>
      </c>
      <c r="B91" s="146">
        <f t="shared" si="35"/>
        <v>45000</v>
      </c>
      <c r="C91" s="147">
        <v>45000</v>
      </c>
      <c r="D91" s="147"/>
      <c r="E91" s="147">
        <f t="shared" si="36"/>
        <v>0</v>
      </c>
      <c r="F91" s="147"/>
      <c r="G91" s="147"/>
      <c r="H91" s="147">
        <v>45000</v>
      </c>
      <c r="I91" s="147"/>
      <c r="J91" s="147"/>
      <c r="K91" s="147"/>
      <c r="L91" s="147"/>
      <c r="M91" s="147"/>
      <c r="N91" s="147"/>
      <c r="O91" s="147"/>
      <c r="P91" s="147"/>
      <c r="Q91" s="147"/>
      <c r="R91" s="516">
        <f t="shared" si="37"/>
        <v>45000</v>
      </c>
      <c r="S91" s="147">
        <f t="shared" si="39"/>
        <v>45000</v>
      </c>
      <c r="T91" s="147"/>
      <c r="U91" s="143"/>
    </row>
    <row r="92" spans="1:21" s="144" customFormat="1">
      <c r="A92" s="283" t="s">
        <v>1212</v>
      </c>
      <c r="B92" s="146">
        <f t="shared" si="35"/>
        <v>7500</v>
      </c>
      <c r="C92" s="147">
        <v>7500</v>
      </c>
      <c r="D92" s="147"/>
      <c r="E92" s="147">
        <f t="shared" si="36"/>
        <v>0</v>
      </c>
      <c r="F92" s="147"/>
      <c r="G92" s="147"/>
      <c r="H92" s="147">
        <v>7500</v>
      </c>
      <c r="I92" s="147"/>
      <c r="J92" s="147"/>
      <c r="K92" s="147"/>
      <c r="L92" s="147"/>
      <c r="M92" s="147"/>
      <c r="N92" s="147"/>
      <c r="O92" s="147"/>
      <c r="P92" s="147"/>
      <c r="Q92" s="147"/>
      <c r="R92" s="516">
        <f t="shared" si="37"/>
        <v>7500</v>
      </c>
      <c r="S92" s="147">
        <f t="shared" si="39"/>
        <v>7500</v>
      </c>
      <c r="T92" s="147"/>
      <c r="U92" s="143"/>
    </row>
    <row r="93" spans="1:21" s="144" customFormat="1">
      <c r="A93" s="1149" t="s">
        <v>903</v>
      </c>
      <c r="B93" s="146">
        <f t="shared" si="35"/>
        <v>43530</v>
      </c>
      <c r="C93" s="147">
        <v>43530</v>
      </c>
      <c r="D93" s="147"/>
      <c r="E93" s="147">
        <f t="shared" si="36"/>
        <v>0</v>
      </c>
      <c r="F93" s="147"/>
      <c r="G93" s="147"/>
      <c r="H93" s="147">
        <v>43530</v>
      </c>
      <c r="I93" s="147"/>
      <c r="J93" s="147"/>
      <c r="K93" s="147"/>
      <c r="L93" s="147"/>
      <c r="M93" s="147"/>
      <c r="N93" s="147"/>
      <c r="O93" s="147"/>
      <c r="P93" s="147"/>
      <c r="Q93" s="147"/>
      <c r="R93" s="516">
        <f t="shared" si="37"/>
        <v>43530</v>
      </c>
      <c r="S93" s="147">
        <f t="shared" si="39"/>
        <v>43530</v>
      </c>
      <c r="T93" s="147"/>
      <c r="U93" s="143"/>
    </row>
    <row r="94" spans="1:21" s="144" customFormat="1">
      <c r="A94" s="1149" t="s">
        <v>2695</v>
      </c>
      <c r="B94" s="146">
        <f t="shared" si="35"/>
        <v>194001</v>
      </c>
      <c r="C94" s="147">
        <v>194001</v>
      </c>
      <c r="D94" s="147"/>
      <c r="E94" s="147">
        <f t="shared" si="36"/>
        <v>0</v>
      </c>
      <c r="F94" s="147"/>
      <c r="G94" s="147"/>
      <c r="H94" s="147">
        <v>194001</v>
      </c>
      <c r="I94" s="147"/>
      <c r="J94" s="147"/>
      <c r="K94" s="147"/>
      <c r="L94" s="147"/>
      <c r="M94" s="147"/>
      <c r="N94" s="147"/>
      <c r="O94" s="147"/>
      <c r="P94" s="147"/>
      <c r="Q94" s="147"/>
      <c r="R94" s="516">
        <f t="shared" si="37"/>
        <v>194001</v>
      </c>
      <c r="S94" s="147">
        <f t="shared" si="39"/>
        <v>194001</v>
      </c>
      <c r="T94" s="147"/>
      <c r="U94" s="143"/>
    </row>
    <row r="95" spans="1:21" s="144" customFormat="1">
      <c r="A95" s="1149"/>
      <c r="B95" s="146">
        <f t="shared" si="35"/>
        <v>0</v>
      </c>
      <c r="C95" s="147"/>
      <c r="D95" s="147"/>
      <c r="E95" s="147">
        <f t="shared" si="36"/>
        <v>0</v>
      </c>
      <c r="F95" s="147"/>
      <c r="G95" s="147"/>
      <c r="H95" s="147"/>
      <c r="I95" s="147"/>
      <c r="J95" s="147"/>
      <c r="K95" s="147"/>
      <c r="L95" s="147"/>
      <c r="M95" s="147"/>
      <c r="N95" s="147"/>
      <c r="O95" s="147"/>
      <c r="P95" s="147"/>
      <c r="Q95" s="147"/>
      <c r="R95" s="516">
        <f t="shared" si="37"/>
        <v>0</v>
      </c>
      <c r="S95" s="147">
        <f t="shared" si="39"/>
        <v>0</v>
      </c>
      <c r="T95" s="147"/>
      <c r="U95" s="143"/>
    </row>
    <row r="96" spans="1:21" s="144" customFormat="1">
      <c r="A96" s="149" t="s">
        <v>775</v>
      </c>
      <c r="B96" s="146">
        <f>SUM(C96:D96)</f>
        <v>1339027</v>
      </c>
      <c r="C96" s="146">
        <f t="shared" ref="C96:R96" si="40">SUM(C83:C95)</f>
        <v>1339027</v>
      </c>
      <c r="D96" s="146">
        <f t="shared" si="40"/>
        <v>0</v>
      </c>
      <c r="E96" s="146">
        <f t="shared" si="40"/>
        <v>47796</v>
      </c>
      <c r="F96" s="146">
        <f t="shared" si="40"/>
        <v>0</v>
      </c>
      <c r="G96" s="146">
        <f t="shared" si="40"/>
        <v>386590</v>
      </c>
      <c r="H96" s="146">
        <f t="shared" si="40"/>
        <v>904641</v>
      </c>
      <c r="I96" s="146">
        <f t="shared" si="40"/>
        <v>0</v>
      </c>
      <c r="J96" s="146">
        <f t="shared" si="40"/>
        <v>0</v>
      </c>
      <c r="K96" s="146">
        <f t="shared" si="40"/>
        <v>0</v>
      </c>
      <c r="L96" s="146">
        <f t="shared" si="40"/>
        <v>0</v>
      </c>
      <c r="M96" s="146">
        <f t="shared" si="40"/>
        <v>0</v>
      </c>
      <c r="N96" s="146">
        <f t="shared" si="40"/>
        <v>0</v>
      </c>
      <c r="O96" s="146">
        <f t="shared" si="40"/>
        <v>0</v>
      </c>
      <c r="P96" s="146">
        <f t="shared" si="40"/>
        <v>0</v>
      </c>
      <c r="Q96" s="146">
        <f t="shared" si="40"/>
        <v>0</v>
      </c>
      <c r="R96" s="342">
        <f t="shared" si="40"/>
        <v>1339027</v>
      </c>
      <c r="S96" s="150">
        <f>SUM(S84:S87,S89:S95)</f>
        <v>1247031</v>
      </c>
      <c r="T96" s="146">
        <f>SUM(T84:T87,T89:T95)</f>
        <v>0</v>
      </c>
      <c r="U96" s="143"/>
    </row>
    <row r="97" spans="1:21" s="144" customFormat="1">
      <c r="A97" s="149" t="s">
        <v>776</v>
      </c>
      <c r="B97" s="146">
        <f>SUM(C97:D97)</f>
        <v>17242575</v>
      </c>
      <c r="C97" s="146">
        <f t="shared" ref="C97:R97" si="41">SUM(C63+C70+C77+C81+C96)</f>
        <v>17242575</v>
      </c>
      <c r="D97" s="146">
        <f t="shared" si="41"/>
        <v>0</v>
      </c>
      <c r="E97" s="146">
        <f t="shared" si="41"/>
        <v>8279681</v>
      </c>
      <c r="F97" s="146">
        <f t="shared" si="41"/>
        <v>1334703</v>
      </c>
      <c r="G97" s="146">
        <f t="shared" si="41"/>
        <v>6425000</v>
      </c>
      <c r="H97" s="146">
        <f t="shared" si="41"/>
        <v>1203191</v>
      </c>
      <c r="I97" s="146">
        <f t="shared" si="41"/>
        <v>0</v>
      </c>
      <c r="J97" s="146">
        <f t="shared" si="41"/>
        <v>0</v>
      </c>
      <c r="K97" s="146">
        <f t="shared" si="41"/>
        <v>0</v>
      </c>
      <c r="L97" s="146">
        <f t="shared" si="41"/>
        <v>0</v>
      </c>
      <c r="M97" s="146">
        <f t="shared" si="41"/>
        <v>0</v>
      </c>
      <c r="N97" s="146">
        <f t="shared" si="41"/>
        <v>0</v>
      </c>
      <c r="O97" s="146">
        <f t="shared" si="41"/>
        <v>0</v>
      </c>
      <c r="P97" s="146">
        <f t="shared" si="41"/>
        <v>0</v>
      </c>
      <c r="Q97" s="146">
        <f t="shared" si="41"/>
        <v>0</v>
      </c>
      <c r="R97" s="146">
        <f t="shared" si="41"/>
        <v>17242575</v>
      </c>
      <c r="S97" s="146">
        <f>SUM(S63+S70+S81+S96)</f>
        <v>13144518</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1971677</v>
      </c>
      <c r="C99" s="979">
        <v>1971677</v>
      </c>
      <c r="D99" s="979"/>
      <c r="E99" s="979">
        <f>+C99-SUM(F99:Q99)</f>
        <v>1971677</v>
      </c>
      <c r="F99" s="147"/>
      <c r="G99" s="147"/>
      <c r="H99" s="147"/>
      <c r="I99" s="147"/>
      <c r="J99" s="147"/>
      <c r="K99" s="147"/>
      <c r="L99" s="147"/>
      <c r="M99" s="147"/>
      <c r="N99" s="147"/>
      <c r="O99" s="147"/>
      <c r="P99" s="147"/>
      <c r="Q99" s="147"/>
      <c r="R99" s="516">
        <f>SUM(E99:Q99)</f>
        <v>1971677</v>
      </c>
      <c r="S99" s="147">
        <f>+R99</f>
        <v>1971677</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1971677</v>
      </c>
      <c r="C104" s="146">
        <f>SUM(C99:C103)</f>
        <v>1971677</v>
      </c>
      <c r="D104" s="146">
        <f t="shared" ref="D104:T104" si="42">SUM(D99:D103)</f>
        <v>0</v>
      </c>
      <c r="E104" s="146">
        <f t="shared" si="42"/>
        <v>1971677</v>
      </c>
      <c r="F104" s="146">
        <f t="shared" si="42"/>
        <v>0</v>
      </c>
      <c r="G104" s="146">
        <f t="shared" si="42"/>
        <v>0</v>
      </c>
      <c r="H104" s="146">
        <f t="shared" si="42"/>
        <v>0</v>
      </c>
      <c r="I104" s="146">
        <f t="shared" si="42"/>
        <v>0</v>
      </c>
      <c r="J104" s="146">
        <f t="shared" si="42"/>
        <v>0</v>
      </c>
      <c r="K104" s="146">
        <f t="shared" si="42"/>
        <v>0</v>
      </c>
      <c r="L104" s="146">
        <f t="shared" si="42"/>
        <v>0</v>
      </c>
      <c r="M104" s="146">
        <f t="shared" si="42"/>
        <v>0</v>
      </c>
      <c r="N104" s="146">
        <f t="shared" si="42"/>
        <v>0</v>
      </c>
      <c r="O104" s="146">
        <f t="shared" si="42"/>
        <v>0</v>
      </c>
      <c r="P104" s="146">
        <f t="shared" si="42"/>
        <v>0</v>
      </c>
      <c r="Q104" s="146">
        <f t="shared" si="42"/>
        <v>0</v>
      </c>
      <c r="R104" s="342">
        <f t="shared" si="42"/>
        <v>1971677</v>
      </c>
      <c r="S104" s="150">
        <f t="shared" si="42"/>
        <v>1971677</v>
      </c>
      <c r="T104" s="150">
        <f t="shared" si="42"/>
        <v>0</v>
      </c>
      <c r="U104" s="143"/>
    </row>
    <row r="105" spans="1:21" s="144" customFormat="1">
      <c r="A105" s="149" t="s">
        <v>781</v>
      </c>
      <c r="B105" s="150">
        <f>SUM(C105:D105)</f>
        <v>19214252</v>
      </c>
      <c r="C105" s="150">
        <f t="shared" ref="C105:R105" si="43">SUM(C97+C104)</f>
        <v>19214252</v>
      </c>
      <c r="D105" s="150">
        <f t="shared" si="43"/>
        <v>0</v>
      </c>
      <c r="E105" s="150">
        <f t="shared" si="43"/>
        <v>10251358</v>
      </c>
      <c r="F105" s="150">
        <f t="shared" si="43"/>
        <v>1334703</v>
      </c>
      <c r="G105" s="150">
        <f t="shared" si="43"/>
        <v>6425000</v>
      </c>
      <c r="H105" s="150">
        <f t="shared" si="43"/>
        <v>1203191</v>
      </c>
      <c r="I105" s="150">
        <f t="shared" si="43"/>
        <v>0</v>
      </c>
      <c r="J105" s="150">
        <f t="shared" si="43"/>
        <v>0</v>
      </c>
      <c r="K105" s="150">
        <f t="shared" si="43"/>
        <v>0</v>
      </c>
      <c r="L105" s="150">
        <f t="shared" si="43"/>
        <v>0</v>
      </c>
      <c r="M105" s="150">
        <f t="shared" si="43"/>
        <v>0</v>
      </c>
      <c r="N105" s="150">
        <f t="shared" si="43"/>
        <v>0</v>
      </c>
      <c r="O105" s="150">
        <f t="shared" si="43"/>
        <v>0</v>
      </c>
      <c r="P105" s="150">
        <f t="shared" si="43"/>
        <v>0</v>
      </c>
      <c r="Q105" s="150">
        <f t="shared" si="43"/>
        <v>0</v>
      </c>
      <c r="R105" s="342">
        <f t="shared" si="43"/>
        <v>19214252</v>
      </c>
      <c r="S105" s="150">
        <f>S97+S104</f>
        <v>15116195</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15116195</v>
      </c>
      <c r="T107" s="150">
        <f>T105+T106</f>
        <v>0</v>
      </c>
    </row>
    <row r="108" spans="1:21" s="189" customFormat="1">
      <c r="A108" s="162" t="s">
        <v>880</v>
      </c>
      <c r="B108" s="157"/>
      <c r="C108" s="157"/>
      <c r="D108" s="157"/>
      <c r="E108" s="301">
        <f>Application!AO640</f>
        <v>10251358</v>
      </c>
      <c r="F108" s="301">
        <f>Application!AO627</f>
        <v>1334703</v>
      </c>
      <c r="G108" s="301">
        <f>Application!AO628</f>
        <v>6425000</v>
      </c>
      <c r="H108" s="301">
        <f>Application!AO629</f>
        <v>1203191</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4" t="s">
        <v>991</v>
      </c>
      <c r="E122" s="1864"/>
      <c r="F122" s="1864"/>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6" t="s">
        <v>1225</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993</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994</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300</v>
      </c>
      <c r="B129" s="333"/>
      <c r="C129" s="117"/>
      <c r="D129" s="1863" t="s">
        <v>998</v>
      </c>
      <c r="E129" s="1863"/>
      <c r="F129" s="1863"/>
      <c r="G129" s="1863"/>
      <c r="H129" s="1863"/>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1001</v>
      </c>
      <c r="E132" s="1867"/>
      <c r="F132" s="1867"/>
      <c r="G132" s="1867"/>
      <c r="H132" s="1867"/>
      <c r="I132" s="117"/>
      <c r="J132" s="1867" t="s">
        <v>1002</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1005</v>
      </c>
      <c r="B139" s="1865"/>
      <c r="C139" s="1865"/>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4" workbookViewId="0">
      <selection activeCell="I10" sqref="I1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1228</v>
      </c>
      <c r="B1" s="1872"/>
      <c r="C1" s="1872"/>
      <c r="D1" s="1872"/>
      <c r="E1" s="1872"/>
      <c r="F1" s="1872"/>
      <c r="G1" s="1872"/>
      <c r="H1" s="1872"/>
      <c r="I1" s="1872"/>
      <c r="J1" s="187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553500</v>
      </c>
      <c r="C4" s="362">
        <f>+B4</f>
        <v>553500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553500</v>
      </c>
      <c r="C8" s="361">
        <f>SUM(C4:C7)</f>
        <v>553500</v>
      </c>
      <c r="D8" s="361">
        <f>SUM(D4:D7)</f>
        <v>0</v>
      </c>
      <c r="E8" s="363"/>
      <c r="F8" s="363"/>
      <c r="G8" s="363"/>
      <c r="H8" s="363"/>
      <c r="I8" s="363"/>
      <c r="J8" s="363"/>
      <c r="K8" s="359"/>
    </row>
    <row r="9" spans="1:11" s="360" customFormat="1">
      <c r="A9" s="364" t="s">
        <v>595</v>
      </c>
      <c r="B9" s="361">
        <f>'Sources and Uses Budget'!C9</f>
        <v>2871500</v>
      </c>
      <c r="C9" s="362">
        <f>+B9</f>
        <v>2871500</v>
      </c>
      <c r="D9" s="362"/>
      <c r="E9" s="363"/>
      <c r="F9" s="363"/>
      <c r="G9" s="363"/>
      <c r="H9" s="361">
        <f>'Sources and Uses Budget'!T9</f>
        <v>0</v>
      </c>
      <c r="I9" s="362">
        <f>+H9</f>
        <v>0</v>
      </c>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2871500</v>
      </c>
      <c r="C11" s="361">
        <f>SUM(C9:C10)</f>
        <v>2871500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3425000</v>
      </c>
      <c r="C12" s="361">
        <f>SUM(C8+C11)</f>
        <v>3425000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1200000</v>
      </c>
      <c r="C29" s="362">
        <f>+B29</f>
        <v>1200000</v>
      </c>
      <c r="D29" s="362"/>
      <c r="E29" s="361">
        <f>'Sources and Uses Budget'!S29</f>
        <v>1200000</v>
      </c>
      <c r="F29" s="362">
        <f t="shared" ref="F29:F37" si="0">+E29</f>
        <v>1200000</v>
      </c>
      <c r="G29" s="362"/>
      <c r="H29" s="361">
        <f>'Sources and Uses Budget'!T29</f>
        <v>0</v>
      </c>
      <c r="I29" s="362"/>
      <c r="J29" s="362"/>
      <c r="K29" s="359"/>
    </row>
    <row r="30" spans="1:11" s="360" customFormat="1">
      <c r="A30" s="145" t="s">
        <v>600</v>
      </c>
      <c r="B30" s="361">
        <f>'Sources and Uses Budget'!C30</f>
        <v>4523109</v>
      </c>
      <c r="C30" s="362">
        <f t="shared" ref="C30:C37" si="1">+B30</f>
        <v>4523109</v>
      </c>
      <c r="D30" s="362"/>
      <c r="E30" s="361">
        <f>'Sources and Uses Budget'!S30</f>
        <v>4523109</v>
      </c>
      <c r="F30" s="362">
        <f t="shared" si="0"/>
        <v>4523109</v>
      </c>
      <c r="G30" s="362"/>
      <c r="H30" s="361">
        <f>'Sources and Uses Budget'!T30</f>
        <v>0</v>
      </c>
      <c r="I30" s="362"/>
      <c r="J30" s="362"/>
      <c r="K30" s="359"/>
    </row>
    <row r="31" spans="1:11" s="360" customFormat="1">
      <c r="A31" s="145" t="s">
        <v>601</v>
      </c>
      <c r="B31" s="361">
        <f>'Sources and Uses Budget'!C31</f>
        <v>343387</v>
      </c>
      <c r="C31" s="362">
        <f t="shared" si="1"/>
        <v>343387</v>
      </c>
      <c r="D31" s="362"/>
      <c r="E31" s="361">
        <f>'Sources and Uses Budget'!S31</f>
        <v>343387</v>
      </c>
      <c r="F31" s="362">
        <f t="shared" si="0"/>
        <v>343387</v>
      </c>
      <c r="G31" s="362"/>
      <c r="H31" s="361">
        <f>'Sources and Uses Budget'!T31</f>
        <v>0</v>
      </c>
      <c r="I31" s="362"/>
      <c r="J31" s="362"/>
      <c r="K31" s="359"/>
    </row>
    <row r="32" spans="1:11" s="360" customFormat="1">
      <c r="A32" s="145" t="s">
        <v>137</v>
      </c>
      <c r="B32" s="361">
        <f>'Sources and Uses Budget'!C32</f>
        <v>121330</v>
      </c>
      <c r="C32" s="362">
        <f t="shared" si="1"/>
        <v>121330</v>
      </c>
      <c r="D32" s="362"/>
      <c r="E32" s="361">
        <f>'Sources and Uses Budget'!S32</f>
        <v>121330</v>
      </c>
      <c r="F32" s="362">
        <f t="shared" si="0"/>
        <v>121330</v>
      </c>
      <c r="G32" s="362"/>
      <c r="H32" s="361">
        <f>'Sources and Uses Budget'!T32</f>
        <v>0</v>
      </c>
      <c r="I32" s="362"/>
      <c r="J32" s="362"/>
      <c r="K32" s="359"/>
    </row>
    <row r="33" spans="1:11" s="360" customFormat="1">
      <c r="A33" s="145" t="s">
        <v>138</v>
      </c>
      <c r="B33" s="361">
        <f>'Sources and Uses Budget'!C33</f>
        <v>363990</v>
      </c>
      <c r="C33" s="362">
        <f t="shared" si="1"/>
        <v>363990</v>
      </c>
      <c r="D33" s="362"/>
      <c r="E33" s="361">
        <f>'Sources and Uses Budget'!S33</f>
        <v>363990</v>
      </c>
      <c r="F33" s="362">
        <f t="shared" si="0"/>
        <v>363990</v>
      </c>
      <c r="G33" s="362"/>
      <c r="H33" s="361">
        <f>'Sources and Uses Budget'!T33</f>
        <v>0</v>
      </c>
      <c r="I33" s="362"/>
      <c r="J33" s="362"/>
      <c r="K33" s="359"/>
    </row>
    <row r="34" spans="1:11" s="360" customFormat="1">
      <c r="A34" s="145" t="s">
        <v>139</v>
      </c>
      <c r="B34" s="361">
        <f>'Sources and Uses Budget'!C34</f>
        <v>400000</v>
      </c>
      <c r="C34" s="362">
        <f t="shared" si="1"/>
        <v>400000</v>
      </c>
      <c r="D34" s="362"/>
      <c r="E34" s="361">
        <f>'Sources and Uses Budget'!S34</f>
        <v>400000</v>
      </c>
      <c r="F34" s="362">
        <f t="shared" si="0"/>
        <v>400000</v>
      </c>
      <c r="G34" s="362"/>
      <c r="H34" s="361">
        <f>'Sources and Uses Budget'!T34</f>
        <v>0</v>
      </c>
      <c r="I34" s="362"/>
      <c r="J34" s="362"/>
      <c r="K34" s="359"/>
    </row>
    <row r="35" spans="1:11" s="360" customFormat="1">
      <c r="A35" s="145" t="s">
        <v>140</v>
      </c>
      <c r="B35" s="361">
        <f>'Sources and Uses Budget'!C35</f>
        <v>196554</v>
      </c>
      <c r="C35" s="362">
        <f t="shared" si="1"/>
        <v>196554</v>
      </c>
      <c r="D35" s="362"/>
      <c r="E35" s="361">
        <f>'Sources and Uses Budget'!S35</f>
        <v>196554</v>
      </c>
      <c r="F35" s="362">
        <f t="shared" si="0"/>
        <v>196554</v>
      </c>
      <c r="G35" s="362"/>
      <c r="H35" s="361">
        <f>'Sources and Uses Budget'!T35</f>
        <v>0</v>
      </c>
      <c r="I35" s="362"/>
      <c r="J35" s="362"/>
      <c r="K35" s="359"/>
    </row>
    <row r="36" spans="1:11" s="360" customFormat="1">
      <c r="A36" s="508" t="s">
        <v>1641</v>
      </c>
      <c r="B36" s="361">
        <f>'Sources and Uses Budget'!C36</f>
        <v>0</v>
      </c>
      <c r="C36" s="362">
        <f t="shared" si="1"/>
        <v>0</v>
      </c>
      <c r="D36" s="362"/>
      <c r="E36" s="361">
        <f>'Sources and Uses Budget'!S36</f>
        <v>0</v>
      </c>
      <c r="F36" s="362">
        <f t="shared" si="0"/>
        <v>0</v>
      </c>
      <c r="G36" s="362"/>
      <c r="H36" s="361">
        <f>'Sources and Uses Budget'!T36</f>
        <v>0</v>
      </c>
      <c r="I36" s="362"/>
      <c r="J36" s="362"/>
      <c r="K36" s="359"/>
    </row>
    <row r="37" spans="1:11" s="360" customFormat="1">
      <c r="A37" s="364" t="str">
        <f>'Sources and Uses Budget'!$A37</f>
        <v>Modulars</v>
      </c>
      <c r="B37" s="361">
        <f>'Sources and Uses Budget'!C37</f>
        <v>2271782</v>
      </c>
      <c r="C37" s="362">
        <f t="shared" si="1"/>
        <v>2271782</v>
      </c>
      <c r="D37" s="362"/>
      <c r="E37" s="361">
        <f>'Sources and Uses Budget'!S37</f>
        <v>2271782</v>
      </c>
      <c r="F37" s="362">
        <f t="shared" si="0"/>
        <v>2271782</v>
      </c>
      <c r="G37" s="362"/>
      <c r="H37" s="361">
        <f>'Sources and Uses Budget'!T37</f>
        <v>0</v>
      </c>
      <c r="I37" s="362"/>
      <c r="J37" s="362"/>
      <c r="K37" s="359"/>
    </row>
    <row r="38" spans="1:11" s="360" customFormat="1">
      <c r="A38" s="365" t="s">
        <v>143</v>
      </c>
      <c r="B38" s="361">
        <f>'Sources and Uses Budget'!C38</f>
        <v>9420152</v>
      </c>
      <c r="C38" s="361">
        <f>SUM(C29:C37)</f>
        <v>9420152</v>
      </c>
      <c r="D38" s="361">
        <f>SUM(D29:D37)</f>
        <v>0</v>
      </c>
      <c r="E38" s="361">
        <f>'Sources and Uses Budget'!S38</f>
        <v>9420152</v>
      </c>
      <c r="F38" s="367">
        <f>SUM(F29:F37)</f>
        <v>9420152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500000</v>
      </c>
      <c r="C40" s="362">
        <f t="shared" ref="C40:C41" si="2">+B40</f>
        <v>500000</v>
      </c>
      <c r="D40" s="362"/>
      <c r="E40" s="361">
        <f>'Sources and Uses Budget'!S40</f>
        <v>500000</v>
      </c>
      <c r="F40" s="362">
        <f t="shared" ref="F40:F41" si="3">+E40</f>
        <v>500000</v>
      </c>
      <c r="G40" s="362"/>
      <c r="H40" s="361">
        <f>'Sources and Uses Budget'!T40</f>
        <v>0</v>
      </c>
      <c r="I40" s="362"/>
      <c r="J40" s="362"/>
      <c r="K40" s="359"/>
    </row>
    <row r="41" spans="1:11" s="360" customFormat="1">
      <c r="A41" s="364" t="s">
        <v>146</v>
      </c>
      <c r="B41" s="361">
        <f>'Sources and Uses Budget'!C41</f>
        <v>100000</v>
      </c>
      <c r="C41" s="362">
        <f t="shared" si="2"/>
        <v>100000</v>
      </c>
      <c r="D41" s="362"/>
      <c r="E41" s="361">
        <f>'Sources and Uses Budget'!S41</f>
        <v>100000</v>
      </c>
      <c r="F41" s="362">
        <f t="shared" si="3"/>
        <v>100000</v>
      </c>
      <c r="G41" s="362"/>
      <c r="H41" s="361">
        <f>'Sources and Uses Budget'!T41</f>
        <v>0</v>
      </c>
      <c r="I41" s="362"/>
      <c r="J41" s="362"/>
      <c r="K41" s="359"/>
    </row>
    <row r="42" spans="1:11" s="360" customFormat="1">
      <c r="A42" s="365" t="s">
        <v>147</v>
      </c>
      <c r="B42" s="361">
        <f>'Sources and Uses Budget'!C42</f>
        <v>600000</v>
      </c>
      <c r="C42" s="361">
        <f>SUM(C39:C41)</f>
        <v>600000</v>
      </c>
      <c r="D42" s="361">
        <f>SUM(D39:D41)</f>
        <v>0</v>
      </c>
      <c r="E42" s="361">
        <f>'Sources and Uses Budget'!S42</f>
        <v>600000</v>
      </c>
      <c r="F42" s="367">
        <f>SUM(F40:F41)</f>
        <v>600000</v>
      </c>
      <c r="G42" s="367">
        <f>SUM(G40:G41)</f>
        <v>0</v>
      </c>
      <c r="H42" s="361">
        <f>'Sources and Uses Budget'!T42</f>
        <v>0</v>
      </c>
      <c r="I42" s="367">
        <f>SUM(I40:I41)</f>
        <v>0</v>
      </c>
      <c r="J42" s="367">
        <f>SUM(J40:J41)</f>
        <v>0</v>
      </c>
      <c r="K42" s="359"/>
    </row>
    <row r="43" spans="1:11" s="360" customFormat="1">
      <c r="A43" s="365" t="s">
        <v>148</v>
      </c>
      <c r="B43" s="361">
        <f>'Sources and Uses Budget'!C43</f>
        <v>350000</v>
      </c>
      <c r="C43" s="362">
        <f>+B43</f>
        <v>350000</v>
      </c>
      <c r="D43" s="362"/>
      <c r="E43" s="361">
        <f>'Sources and Uses Budget'!S43</f>
        <v>350000</v>
      </c>
      <c r="F43" s="362">
        <f>+E43</f>
        <v>350000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159730</v>
      </c>
      <c r="C45" s="362">
        <f t="shared" ref="C45:C53" si="4">+B45</f>
        <v>159730</v>
      </c>
      <c r="D45" s="362"/>
      <c r="E45" s="361">
        <f>'Sources and Uses Budget'!S45</f>
        <v>159730</v>
      </c>
      <c r="F45" s="362">
        <f t="shared" ref="F45:F53" si="5">+E45</f>
        <v>159730</v>
      </c>
      <c r="G45" s="362"/>
      <c r="H45" s="361">
        <f>'Sources and Uses Budget'!T45</f>
        <v>0</v>
      </c>
      <c r="I45" s="362"/>
      <c r="J45" s="362"/>
      <c r="K45" s="359"/>
    </row>
    <row r="46" spans="1:11" s="360" customFormat="1">
      <c r="A46" s="364" t="s">
        <v>151</v>
      </c>
      <c r="B46" s="361">
        <f>'Sources and Uses Budget'!C46</f>
        <v>96414</v>
      </c>
      <c r="C46" s="362">
        <f t="shared" si="4"/>
        <v>96414</v>
      </c>
      <c r="D46" s="362"/>
      <c r="E46" s="361">
        <f>'Sources and Uses Budget'!S46</f>
        <v>96414</v>
      </c>
      <c r="F46" s="362">
        <f t="shared" si="5"/>
        <v>96414</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0</v>
      </c>
      <c r="C49" s="362">
        <f t="shared" si="4"/>
        <v>0</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11070</v>
      </c>
      <c r="C51" s="362">
        <f t="shared" si="4"/>
        <v>11070</v>
      </c>
      <c r="D51" s="362"/>
      <c r="E51" s="361">
        <f>'Sources and Uses Budget'!S51</f>
        <v>11070</v>
      </c>
      <c r="F51" s="362">
        <f t="shared" si="5"/>
        <v>11070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362214</v>
      </c>
      <c r="C54" s="367">
        <f>SUM(C45:C53)</f>
        <v>362214</v>
      </c>
      <c r="D54" s="367">
        <f>SUM(D45:D53)</f>
        <v>0</v>
      </c>
      <c r="E54" s="361">
        <f>'Sources and Uses Budget'!S54</f>
        <v>362214</v>
      </c>
      <c r="F54" s="367">
        <f>SUM(F45:F53)</f>
        <v>362214</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 xml:space="preserve">Cost of Issuance </v>
      </c>
      <c r="B61" s="361">
        <f>'Sources and Uses Budget'!C61</f>
        <v>165516</v>
      </c>
      <c r="C61" s="362">
        <f t="shared" si="6"/>
        <v>165516</v>
      </c>
      <c r="D61" s="362"/>
      <c r="E61" s="363"/>
      <c r="F61" s="363"/>
      <c r="G61" s="363"/>
      <c r="H61" s="363"/>
      <c r="I61" s="363"/>
      <c r="J61" s="363"/>
      <c r="K61" s="359"/>
    </row>
    <row r="62" spans="1:11" s="360" customFormat="1" ht="13.7" customHeight="1">
      <c r="A62" s="365" t="s">
        <v>301</v>
      </c>
      <c r="B62" s="361">
        <f>'Sources and Uses Budget'!C62</f>
        <v>180516</v>
      </c>
      <c r="C62" s="361">
        <f>SUM(C56:C61)</f>
        <v>180516</v>
      </c>
      <c r="D62" s="361">
        <f>SUM(D56:D61)</f>
        <v>0</v>
      </c>
      <c r="E62" s="363"/>
      <c r="F62" s="363"/>
      <c r="G62" s="363"/>
      <c r="H62" s="363"/>
      <c r="I62" s="363"/>
      <c r="J62" s="363"/>
      <c r="K62" s="359"/>
    </row>
    <row r="63" spans="1:11" s="360" customFormat="1">
      <c r="A63" s="370" t="s">
        <v>302</v>
      </c>
      <c r="B63" s="361">
        <f>'Sources and Uses Budget'!C63</f>
        <v>14337882</v>
      </c>
      <c r="C63" s="361">
        <f>SUM(C8+C11+C13+C14+C15+C26+C27+C38+C42+C43+C54+C62)</f>
        <v>14337882</v>
      </c>
      <c r="D63" s="361">
        <f>SUM(D8+D11+D13+D14+D15+D26+D27+D38+D42+D43+D54+D62)</f>
        <v>0</v>
      </c>
      <c r="E63" s="361">
        <f>'Sources and Uses Budget'!S63</f>
        <v>10732366</v>
      </c>
      <c r="F63" s="361">
        <f>SUM(F10+F13+F14+F15+F26+F27+F38+F42+F43+F54)</f>
        <v>10732366</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65000</v>
      </c>
      <c r="C65" s="362">
        <f>+B65</f>
        <v>65000</v>
      </c>
      <c r="D65" s="362"/>
      <c r="E65" s="361">
        <f>'Sources and Uses Budget'!S65</f>
        <v>65000</v>
      </c>
      <c r="F65" s="362">
        <f>+E65</f>
        <v>65000</v>
      </c>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 xml:space="preserve">Borrowers Attorney </v>
      </c>
      <c r="B69" s="361">
        <f>'Sources and Uses Budget'!C69</f>
        <v>50000</v>
      </c>
      <c r="C69" s="362">
        <f>+B69</f>
        <v>50000</v>
      </c>
      <c r="D69" s="362"/>
      <c r="E69" s="361">
        <f>'Sources and Uses Budget'!S69</f>
        <v>50000</v>
      </c>
      <c r="F69" s="362">
        <f>+E69</f>
        <v>50000</v>
      </c>
      <c r="G69" s="362"/>
      <c r="H69" s="361">
        <f>'Sources and Uses Budget'!T69</f>
        <v>0</v>
      </c>
      <c r="I69" s="362"/>
      <c r="J69" s="362"/>
      <c r="K69" s="359"/>
    </row>
    <row r="70" spans="1:11" s="360" customFormat="1">
      <c r="A70" s="365" t="s">
        <v>602</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f t="shared" ref="C72:C76" si="7">+B72</f>
        <v>30000</v>
      </c>
      <c r="D72" s="362"/>
      <c r="E72" s="363"/>
      <c r="F72" s="363"/>
      <c r="G72" s="363"/>
      <c r="H72" s="363"/>
      <c r="I72" s="363"/>
      <c r="J72" s="363"/>
      <c r="K72" s="359"/>
    </row>
    <row r="73" spans="1:11" s="360" customFormat="1">
      <c r="A73" s="364" t="s">
        <v>605</v>
      </c>
      <c r="B73" s="361">
        <f>'Sources and Uses Budget'!C73</f>
        <v>0</v>
      </c>
      <c r="C73" s="362">
        <f t="shared" si="7"/>
        <v>0</v>
      </c>
      <c r="D73" s="362"/>
      <c r="E73" s="363"/>
      <c r="F73" s="363"/>
      <c r="G73" s="363"/>
      <c r="H73" s="363"/>
      <c r="I73" s="363"/>
      <c r="J73" s="363"/>
      <c r="K73" s="359"/>
    </row>
    <row r="74" spans="1:11" s="360" customFormat="1">
      <c r="A74" s="366" t="s">
        <v>987</v>
      </c>
      <c r="B74" s="361">
        <f>'Sources and Uses Budget'!C74</f>
        <v>0</v>
      </c>
      <c r="C74" s="362">
        <f t="shared" si="7"/>
        <v>0</v>
      </c>
      <c r="D74" s="362"/>
      <c r="E74" s="363"/>
      <c r="F74" s="363"/>
      <c r="G74" s="363"/>
      <c r="H74" s="363"/>
      <c r="I74" s="363"/>
      <c r="J74" s="363"/>
      <c r="K74" s="359"/>
    </row>
    <row r="75" spans="1:11" s="360" customFormat="1">
      <c r="A75" s="364" t="s">
        <v>606</v>
      </c>
      <c r="B75" s="361">
        <f>'Sources and Uses Budget'!C75</f>
        <v>108795</v>
      </c>
      <c r="C75" s="362">
        <f t="shared" si="7"/>
        <v>108795</v>
      </c>
      <c r="D75" s="362"/>
      <c r="E75" s="363"/>
      <c r="F75" s="363"/>
      <c r="G75" s="363"/>
      <c r="H75" s="363"/>
      <c r="I75" s="363"/>
      <c r="J75" s="363"/>
      <c r="K75" s="359"/>
    </row>
    <row r="76" spans="1:11" s="360" customFormat="1">
      <c r="A76" s="364" t="str">
        <f>'Sources and Uses Budget'!$A76</f>
        <v>COSR</v>
      </c>
      <c r="B76" s="361">
        <f>'Sources and Uses Budget'!C76</f>
        <v>261750</v>
      </c>
      <c r="C76" s="362">
        <f t="shared" si="7"/>
        <v>261750</v>
      </c>
      <c r="D76" s="362"/>
      <c r="E76" s="363"/>
      <c r="F76" s="363"/>
      <c r="G76" s="363"/>
      <c r="H76" s="363"/>
      <c r="I76" s="363"/>
      <c r="J76" s="363"/>
      <c r="K76" s="359"/>
    </row>
    <row r="77" spans="1:11" s="360" customFormat="1">
      <c r="A77" s="365" t="s">
        <v>607</v>
      </c>
      <c r="B77" s="361">
        <f>'Sources and Uses Budget'!C77</f>
        <v>400545</v>
      </c>
      <c r="C77" s="361">
        <f>SUM(C72:C76)</f>
        <v>400545</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942015</v>
      </c>
      <c r="C79" s="362">
        <f t="shared" ref="C79:C80" si="8">+B79</f>
        <v>942015</v>
      </c>
      <c r="D79" s="362"/>
      <c r="E79" s="361">
        <f>'Sources and Uses Budget'!S79</f>
        <v>942015</v>
      </c>
      <c r="F79" s="362">
        <f t="shared" ref="F79:F80" si="9">+E79</f>
        <v>942015</v>
      </c>
      <c r="G79" s="362"/>
      <c r="H79" s="361">
        <f>'Sources and Uses Budget'!T79</f>
        <v>0</v>
      </c>
      <c r="I79" s="362"/>
      <c r="J79" s="362"/>
      <c r="K79" s="359"/>
    </row>
    <row r="80" spans="1:11" s="360" customFormat="1">
      <c r="A80" s="364" t="s">
        <v>58</v>
      </c>
      <c r="B80" s="361">
        <f>'Sources and Uses Budget'!C80</f>
        <v>108106</v>
      </c>
      <c r="C80" s="362">
        <f t="shared" si="8"/>
        <v>108106</v>
      </c>
      <c r="D80" s="362"/>
      <c r="E80" s="361">
        <f>'Sources and Uses Budget'!S80</f>
        <v>108106</v>
      </c>
      <c r="F80" s="362">
        <f t="shared" si="9"/>
        <v>108106</v>
      </c>
      <c r="G80" s="362"/>
      <c r="H80" s="361">
        <f>'Sources and Uses Budget'!T80</f>
        <v>0</v>
      </c>
      <c r="I80" s="362"/>
      <c r="J80" s="362"/>
      <c r="K80" s="359"/>
    </row>
    <row r="81" spans="1:11" s="360" customFormat="1">
      <c r="A81" s="365" t="s">
        <v>1210</v>
      </c>
      <c r="B81" s="361">
        <f>'Sources and Uses Budget'!C81</f>
        <v>1050121</v>
      </c>
      <c r="C81" s="361">
        <f>SUM(C79:C80)</f>
        <v>1050121</v>
      </c>
      <c r="D81" s="361">
        <f>SUM(D79:D80)</f>
        <v>0</v>
      </c>
      <c r="E81" s="361">
        <f>'Sources and Uses Budget'!S81</f>
        <v>1050121</v>
      </c>
      <c r="F81" s="361">
        <f>SUM(F79:F80)</f>
        <v>1050121</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51996</v>
      </c>
      <c r="C83" s="362">
        <f t="shared" ref="C83:C95" si="10">+B83</f>
        <v>51996</v>
      </c>
      <c r="D83" s="362"/>
      <c r="E83" s="363"/>
      <c r="F83" s="363"/>
      <c r="G83" s="363"/>
      <c r="H83" s="363"/>
      <c r="I83" s="363"/>
      <c r="J83" s="363"/>
      <c r="K83" s="359"/>
    </row>
    <row r="84" spans="1:11" s="360" customFormat="1">
      <c r="A84" s="145" t="s">
        <v>768</v>
      </c>
      <c r="B84" s="361">
        <f>'Sources and Uses Budget'!C84</f>
        <v>7000</v>
      </c>
      <c r="C84" s="362">
        <f t="shared" si="10"/>
        <v>7000</v>
      </c>
      <c r="D84" s="362"/>
      <c r="E84" s="361">
        <f>'Sources and Uses Budget'!S84</f>
        <v>7000</v>
      </c>
      <c r="F84" s="362">
        <f t="shared" ref="F84:F87" si="11">+E84</f>
        <v>7000</v>
      </c>
      <c r="G84" s="362"/>
      <c r="H84" s="361">
        <f>'Sources and Uses Budget'!T84</f>
        <v>0</v>
      </c>
      <c r="I84" s="362"/>
      <c r="J84" s="362"/>
      <c r="K84" s="359"/>
    </row>
    <row r="85" spans="1:11" s="360" customFormat="1">
      <c r="A85" s="145" t="s">
        <v>769</v>
      </c>
      <c r="B85" s="361">
        <f>'Sources and Uses Budget'!C85</f>
        <v>8114</v>
      </c>
      <c r="C85" s="362">
        <f t="shared" si="10"/>
        <v>8114</v>
      </c>
      <c r="D85" s="362"/>
      <c r="E85" s="361">
        <f>'Sources and Uses Budget'!S85</f>
        <v>8114</v>
      </c>
      <c r="F85" s="362">
        <f t="shared" si="11"/>
        <v>8114</v>
      </c>
      <c r="G85" s="362"/>
      <c r="H85" s="361">
        <f>'Sources and Uses Budget'!T85</f>
        <v>0</v>
      </c>
      <c r="I85" s="362"/>
      <c r="J85" s="362"/>
      <c r="K85" s="359"/>
    </row>
    <row r="86" spans="1:11" s="360" customFormat="1">
      <c r="A86" s="145" t="s">
        <v>770</v>
      </c>
      <c r="B86" s="361">
        <f>'Sources and Uses Budget'!C86</f>
        <v>791886</v>
      </c>
      <c r="C86" s="362">
        <f t="shared" si="10"/>
        <v>791886</v>
      </c>
      <c r="D86" s="362"/>
      <c r="E86" s="361">
        <f>'Sources and Uses Budget'!S86</f>
        <v>791886</v>
      </c>
      <c r="F86" s="362">
        <f t="shared" si="11"/>
        <v>791886</v>
      </c>
      <c r="G86" s="362"/>
      <c r="H86" s="361">
        <f>'Sources and Uses Budget'!T86</f>
        <v>0</v>
      </c>
      <c r="I86" s="362"/>
      <c r="J86" s="362"/>
      <c r="K86" s="359"/>
    </row>
    <row r="87" spans="1:11" s="360" customFormat="1">
      <c r="A87" s="145" t="s">
        <v>771</v>
      </c>
      <c r="B87" s="361">
        <f>'Sources and Uses Budget'!C87</f>
        <v>0</v>
      </c>
      <c r="C87" s="362">
        <f t="shared" si="10"/>
        <v>0</v>
      </c>
      <c r="D87" s="362"/>
      <c r="E87" s="361">
        <f>'Sources and Uses Budget'!S87</f>
        <v>0</v>
      </c>
      <c r="F87" s="362">
        <f t="shared" si="11"/>
        <v>0</v>
      </c>
      <c r="G87" s="362"/>
      <c r="H87" s="361">
        <f>'Sources and Uses Budget'!T87</f>
        <v>0</v>
      </c>
      <c r="I87" s="362"/>
      <c r="J87" s="362"/>
      <c r="K87" s="359"/>
    </row>
    <row r="88" spans="1:11" s="360" customFormat="1">
      <c r="A88" s="145" t="s">
        <v>772</v>
      </c>
      <c r="B88" s="361">
        <f>'Sources and Uses Budget'!C88</f>
        <v>40000</v>
      </c>
      <c r="C88" s="362">
        <f t="shared" si="10"/>
        <v>40000</v>
      </c>
      <c r="D88" s="362"/>
      <c r="E88" s="363"/>
      <c r="F88" s="363"/>
      <c r="G88" s="363"/>
      <c r="H88" s="363"/>
      <c r="I88" s="363"/>
      <c r="J88" s="363"/>
      <c r="K88" s="359"/>
    </row>
    <row r="89" spans="1:11" s="360" customFormat="1">
      <c r="A89" s="145" t="s">
        <v>773</v>
      </c>
      <c r="B89" s="361">
        <f>'Sources and Uses Budget'!C89</f>
        <v>140000</v>
      </c>
      <c r="C89" s="362">
        <f t="shared" si="10"/>
        <v>140000</v>
      </c>
      <c r="D89" s="362"/>
      <c r="E89" s="361">
        <f>'Sources and Uses Budget'!S89</f>
        <v>140000</v>
      </c>
      <c r="F89" s="362">
        <f t="shared" ref="F89:F95" si="12">+E89</f>
        <v>140000</v>
      </c>
      <c r="G89" s="362"/>
      <c r="H89" s="361">
        <f>'Sources and Uses Budget'!T89</f>
        <v>0</v>
      </c>
      <c r="I89" s="362"/>
      <c r="J89" s="362"/>
      <c r="K89" s="359"/>
    </row>
    <row r="90" spans="1:11" s="360" customFormat="1">
      <c r="A90" s="145" t="s">
        <v>774</v>
      </c>
      <c r="B90" s="361">
        <f>'Sources and Uses Budget'!C90</f>
        <v>10000</v>
      </c>
      <c r="C90" s="362">
        <f t="shared" si="10"/>
        <v>10000</v>
      </c>
      <c r="D90" s="362"/>
      <c r="E90" s="361">
        <f>'Sources and Uses Budget'!S90</f>
        <v>10000</v>
      </c>
      <c r="F90" s="362">
        <f t="shared" si="12"/>
        <v>10000</v>
      </c>
      <c r="G90" s="362"/>
      <c r="H90" s="361">
        <f>'Sources and Uses Budget'!T90</f>
        <v>0</v>
      </c>
      <c r="I90" s="362"/>
      <c r="J90" s="362"/>
      <c r="K90" s="359"/>
    </row>
    <row r="91" spans="1:11" s="360" customFormat="1">
      <c r="A91" s="155" t="s">
        <v>372</v>
      </c>
      <c r="B91" s="361">
        <f>'Sources and Uses Budget'!C91</f>
        <v>45000</v>
      </c>
      <c r="C91" s="362">
        <f t="shared" si="10"/>
        <v>45000</v>
      </c>
      <c r="D91" s="362"/>
      <c r="E91" s="361">
        <f>'Sources and Uses Budget'!S91</f>
        <v>45000</v>
      </c>
      <c r="F91" s="362">
        <f t="shared" si="12"/>
        <v>45000</v>
      </c>
      <c r="G91" s="362"/>
      <c r="H91" s="361">
        <f>'Sources and Uses Budget'!T91</f>
        <v>0</v>
      </c>
      <c r="I91" s="362"/>
      <c r="J91" s="362"/>
      <c r="K91" s="359"/>
    </row>
    <row r="92" spans="1:11" s="360" customFormat="1">
      <c r="A92" s="508" t="s">
        <v>1212</v>
      </c>
      <c r="B92" s="361">
        <f>'Sources and Uses Budget'!C92</f>
        <v>7500</v>
      </c>
      <c r="C92" s="362">
        <f t="shared" si="10"/>
        <v>7500</v>
      </c>
      <c r="D92" s="362"/>
      <c r="E92" s="361">
        <f>'Sources and Uses Budget'!S92</f>
        <v>7500</v>
      </c>
      <c r="F92" s="362">
        <f t="shared" si="12"/>
        <v>7500</v>
      </c>
      <c r="G92" s="362"/>
      <c r="H92" s="361">
        <f>'Sources and Uses Budget'!T92</f>
        <v>0</v>
      </c>
      <c r="I92" s="362"/>
      <c r="J92" s="362"/>
      <c r="K92" s="359"/>
    </row>
    <row r="93" spans="1:11" s="360" customFormat="1">
      <c r="A93" s="364" t="str">
        <f>'Sources and Uses Budget'!$A93</f>
        <v>Predevelopment Interest/Holding Cost</v>
      </c>
      <c r="B93" s="361">
        <f>'Sources and Uses Budget'!C93</f>
        <v>43530</v>
      </c>
      <c r="C93" s="362">
        <f t="shared" si="10"/>
        <v>43530</v>
      </c>
      <c r="D93" s="362"/>
      <c r="E93" s="361">
        <f>'Sources and Uses Budget'!S93</f>
        <v>43530</v>
      </c>
      <c r="F93" s="362">
        <f t="shared" si="12"/>
        <v>43530</v>
      </c>
      <c r="G93" s="362"/>
      <c r="H93" s="361">
        <f>'Sources and Uses Budget'!T93</f>
        <v>0</v>
      </c>
      <c r="I93" s="362"/>
      <c r="J93" s="362"/>
      <c r="K93" s="359"/>
    </row>
    <row r="94" spans="1:11" s="360" customFormat="1">
      <c r="A94" s="364" t="str">
        <f>'Sources and Uses Budget'!$A94</f>
        <v xml:space="preserve">Financing Consultant </v>
      </c>
      <c r="B94" s="361">
        <f>'Sources and Uses Budget'!C94</f>
        <v>194001</v>
      </c>
      <c r="C94" s="362">
        <f t="shared" si="10"/>
        <v>194001</v>
      </c>
      <c r="D94" s="362"/>
      <c r="E94" s="361">
        <f>'Sources and Uses Budget'!S94</f>
        <v>194001</v>
      </c>
      <c r="F94" s="362">
        <f t="shared" si="12"/>
        <v>194001</v>
      </c>
      <c r="G94" s="362"/>
      <c r="H94" s="361">
        <f>'Sources and Uses Budget'!T94</f>
        <v>0</v>
      </c>
      <c r="I94" s="362"/>
      <c r="J94" s="362"/>
      <c r="K94" s="359"/>
    </row>
    <row r="95" spans="1:11" s="360" customFormat="1">
      <c r="A95" s="364">
        <f>'Sources and Uses Budget'!$A95</f>
        <v>0</v>
      </c>
      <c r="B95" s="361">
        <f>'Sources and Uses Budget'!C95</f>
        <v>0</v>
      </c>
      <c r="C95" s="362">
        <f t="shared" si="10"/>
        <v>0</v>
      </c>
      <c r="D95" s="362"/>
      <c r="E95" s="361">
        <f>'Sources and Uses Budget'!S95</f>
        <v>0</v>
      </c>
      <c r="F95" s="362">
        <f t="shared" si="12"/>
        <v>0</v>
      </c>
      <c r="G95" s="362"/>
      <c r="H95" s="361">
        <f>'Sources and Uses Budget'!T95</f>
        <v>0</v>
      </c>
      <c r="I95" s="362"/>
      <c r="J95" s="362"/>
      <c r="K95" s="359"/>
    </row>
    <row r="96" spans="1:11" s="360" customFormat="1">
      <c r="A96" s="365" t="s">
        <v>775</v>
      </c>
      <c r="B96" s="361">
        <f>'Sources and Uses Budget'!C96</f>
        <v>1339027</v>
      </c>
      <c r="C96" s="361">
        <f>SUM(C83:C95)</f>
        <v>1339027</v>
      </c>
      <c r="D96" s="361">
        <f>SUM(D83:D95)</f>
        <v>0</v>
      </c>
      <c r="E96" s="361">
        <f>'Sources and Uses Budget'!S96</f>
        <v>1247031</v>
      </c>
      <c r="F96" s="367">
        <f>SUM(F84:F87,F89:F95)</f>
        <v>1247031</v>
      </c>
      <c r="G96" s="367">
        <f>SUM(G84:G87,G89:G95)</f>
        <v>0</v>
      </c>
      <c r="H96" s="361">
        <f>'Sources and Uses Budget'!T96</f>
        <v>0</v>
      </c>
      <c r="I96" s="361">
        <f>SUM(I84:I87,I89:I95)</f>
        <v>0</v>
      </c>
      <c r="J96" s="361">
        <f>SUM(J84:J87,J89:J95)</f>
        <v>0</v>
      </c>
      <c r="K96" s="359"/>
    </row>
    <row r="97" spans="1:11" s="360" customFormat="1">
      <c r="A97" s="365" t="s">
        <v>1030</v>
      </c>
      <c r="B97" s="361">
        <f>'Sources and Uses Budget'!C97</f>
        <v>17242575</v>
      </c>
      <c r="C97" s="361">
        <f>SUM(C63+C70+C77+C81+C96)</f>
        <v>17242575</v>
      </c>
      <c r="D97" s="361">
        <f>SUM(D63+D70+D77+D81+D96)</f>
        <v>0</v>
      </c>
      <c r="E97" s="361">
        <f>'Sources and Uses Budget'!S97</f>
        <v>13144518</v>
      </c>
      <c r="F97" s="367">
        <f>SUM(+F63+F70+F81+F96)</f>
        <v>13144518</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1971677</v>
      </c>
      <c r="C99" s="362">
        <f t="shared" ref="C99" si="13">+B99</f>
        <v>1971677</v>
      </c>
      <c r="D99" s="362"/>
      <c r="E99" s="361">
        <f>'Sources and Uses Budget'!S99</f>
        <v>1971677</v>
      </c>
      <c r="F99" s="362">
        <f t="shared" ref="F99" si="14">+E99</f>
        <v>1971677</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1971677</v>
      </c>
      <c r="C104" s="361">
        <f>SUM(C99:C103)</f>
        <v>1971677</v>
      </c>
      <c r="D104" s="361">
        <f>SUM(D99:D103)</f>
        <v>0</v>
      </c>
      <c r="E104" s="361">
        <f>'Sources and Uses Budget'!S104</f>
        <v>1971677</v>
      </c>
      <c r="F104" s="367">
        <f>SUM(F99:F103)</f>
        <v>1971677</v>
      </c>
      <c r="G104" s="367">
        <f>SUM(G99:G103)</f>
        <v>0</v>
      </c>
      <c r="H104" s="361">
        <f>'Sources and Uses Budget'!T104</f>
        <v>0</v>
      </c>
      <c r="I104" s="367">
        <f>SUM(I99:I103)</f>
        <v>0</v>
      </c>
      <c r="J104" s="367">
        <f>SUM(J99:J103)</f>
        <v>0</v>
      </c>
      <c r="K104" s="359"/>
    </row>
    <row r="105" spans="1:11" s="360" customFormat="1">
      <c r="A105" s="365" t="s">
        <v>1031</v>
      </c>
      <c r="B105" s="361">
        <f>'Sources and Uses Budget'!C105</f>
        <v>19214252</v>
      </c>
      <c r="C105" s="367">
        <f>SUM(C97+C104)</f>
        <v>19214252</v>
      </c>
      <c r="D105" s="367">
        <f>SUM(D97+D104)</f>
        <v>0</v>
      </c>
      <c r="E105" s="361">
        <f>'Sources and Uses Budget'!S105</f>
        <v>15116195</v>
      </c>
      <c r="F105" s="367">
        <f>F97+F104</f>
        <v>15116195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15116195</v>
      </c>
      <c r="F107" s="367">
        <f>F105+F106</f>
        <v>15116195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2458</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2457</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1" t="str">
        <f>IF(Application!H18="","",Application!H18)</f>
        <v xml:space="preserve">Santa Cruz Veterans Village </v>
      </c>
      <c r="M4" s="2312"/>
      <c r="N4" s="2312"/>
      <c r="O4" s="2312"/>
      <c r="P4" s="2312"/>
      <c r="Q4" s="2312"/>
      <c r="R4" s="2312"/>
      <c r="S4" s="2312"/>
      <c r="T4" s="2312"/>
      <c r="U4" s="2312"/>
      <c r="V4" s="2312"/>
      <c r="W4" s="2312"/>
      <c r="X4" s="2312"/>
      <c r="Y4" s="2312"/>
      <c r="Z4" s="2312"/>
      <c r="AA4" s="2312"/>
      <c r="AB4" s="2312"/>
      <c r="AC4" s="2313"/>
      <c r="AD4" s="1190"/>
      <c r="AE4" s="1190"/>
      <c r="AF4" s="2307" t="s">
        <v>2456</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2455</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1" t="str">
        <f>IF(Application!H16="","",Application!H16)</f>
        <v xml:space="preserve">Santa Cruz Veterans Memorial Building Board of Trustees </v>
      </c>
      <c r="M6" s="2312"/>
      <c r="N6" s="2312"/>
      <c r="O6" s="2312"/>
      <c r="P6" s="2312"/>
      <c r="Q6" s="2312"/>
      <c r="R6" s="2312"/>
      <c r="S6" s="2312"/>
      <c r="T6" s="2312"/>
      <c r="U6" s="2312"/>
      <c r="V6" s="2312"/>
      <c r="W6" s="2312"/>
      <c r="X6" s="2312"/>
      <c r="Y6" s="2312"/>
      <c r="Z6" s="2312"/>
      <c r="AA6" s="2312"/>
      <c r="AB6" s="2312"/>
      <c r="AC6" s="2313"/>
      <c r="AD6" s="1190"/>
      <c r="AE6" s="1190"/>
      <c r="AF6" s="2314" t="s">
        <v>2453</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2452</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2450</v>
      </c>
      <c r="AG8" s="2314"/>
      <c r="AH8" s="2314"/>
      <c r="AI8" s="2314"/>
      <c r="AJ8" s="2314"/>
      <c r="AK8" s="2314"/>
      <c r="AL8" s="2314"/>
      <c r="AM8" s="2314"/>
      <c r="AN8" s="2314"/>
      <c r="AO8" s="2314"/>
      <c r="AP8" s="2315" t="s">
        <v>2100</v>
      </c>
      <c r="AQ8" s="2315"/>
      <c r="AR8" s="2315"/>
      <c r="AS8" s="2315"/>
      <c r="AT8" s="2315"/>
      <c r="AU8" s="2315"/>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2449</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0">
        <f>Application!AO627</f>
        <v>1334703</v>
      </c>
      <c r="O10" s="2310"/>
      <c r="P10" s="2310"/>
      <c r="Q10" s="2310"/>
      <c r="R10" s="2310"/>
      <c r="S10" s="2310"/>
      <c r="T10" s="2310"/>
      <c r="U10" s="1190"/>
      <c r="V10" s="1190"/>
      <c r="W10" s="1190"/>
      <c r="X10" s="1193"/>
      <c r="Y10" s="1193"/>
      <c r="Z10" s="1193"/>
      <c r="AA10" s="1193"/>
      <c r="AB10" s="1193"/>
      <c r="AC10" s="1193"/>
      <c r="AD10" s="1193"/>
      <c r="AE10" s="1193"/>
      <c r="AF10" s="2307" t="s">
        <v>2446</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2443</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298" t="s">
        <v>2441</v>
      </c>
      <c r="C13" s="2299"/>
      <c r="D13" s="2299"/>
      <c r="E13" s="2299"/>
      <c r="F13" s="2299"/>
      <c r="G13" s="2299"/>
      <c r="H13" s="2299"/>
      <c r="I13" s="2299"/>
      <c r="J13" s="2299"/>
      <c r="K13" s="2299"/>
      <c r="L13" s="2299"/>
      <c r="M13" s="2299"/>
      <c r="N13" s="2299"/>
      <c r="O13" s="2299"/>
      <c r="P13" s="2300"/>
      <c r="Q13" s="2301" t="s">
        <v>670</v>
      </c>
      <c r="R13" s="2302"/>
      <c r="S13" s="2302"/>
      <c r="T13" s="2303"/>
      <c r="U13" s="1193"/>
      <c r="V13" s="1190"/>
      <c r="W13" s="1190"/>
      <c r="X13" s="1190"/>
      <c r="Y13" s="1190"/>
      <c r="Z13" s="1190"/>
      <c r="AA13" s="2288" t="s">
        <v>2440</v>
      </c>
      <c r="AB13" s="2288"/>
      <c r="AC13" s="2288"/>
      <c r="AD13" s="2288"/>
      <c r="AE13" s="2288"/>
      <c r="AF13" s="2288"/>
      <c r="AG13" s="2288"/>
      <c r="AH13" s="2288"/>
      <c r="AI13" s="2288"/>
      <c r="AJ13" s="2288"/>
      <c r="AK13" s="2288"/>
      <c r="AL13" s="2288"/>
      <c r="AM13" s="2288"/>
      <c r="AN13" s="2288"/>
      <c r="AO13" s="2304">
        <f>Application!W473</f>
        <v>0</v>
      </c>
      <c r="AP13" s="2305"/>
      <c r="AQ13" s="2305"/>
      <c r="AR13" s="2305"/>
      <c r="AS13" s="2305"/>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2438</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2437</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2436</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2435</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2434</v>
      </c>
      <c r="C18" s="2292"/>
      <c r="D18" s="2292"/>
      <c r="E18" s="2292"/>
      <c r="F18" s="2292"/>
      <c r="G18" s="2292"/>
      <c r="H18" s="2292"/>
      <c r="I18" s="2293"/>
      <c r="J18" s="2294" t="s">
        <v>1587</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2433</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20</v>
      </c>
      <c r="K19" s="2281"/>
      <c r="L19" s="2281"/>
      <c r="M19" s="2281"/>
      <c r="N19" s="2281"/>
      <c r="O19" s="2282"/>
      <c r="P19" s="2280" cm="1">
        <f t="array" ref="P19">SUMPRODUCT((Application!$B$718:$B$752 = 'CalHFA Addendum'!P$18)*(Application!$AC$718:$AC$752 = 'CalHFA Addendum'!$B19),Application!$G$718:$G$752)</f>
        <v>8</v>
      </c>
      <c r="Q19" s="2281"/>
      <c r="R19" s="2281"/>
      <c r="S19" s="2281"/>
      <c r="T19" s="2281"/>
      <c r="U19" s="2282"/>
      <c r="V19" s="2280" cm="1">
        <f t="array" ref="V19">SUMPRODUCT((Application!$B$714:$B$738 = 'CalHFA Addendum'!V$18)*(Application!$AC$714:$AC$738 = 'CalHFA Addendum'!$B19),Application!$G$714:$G$738)</f>
        <v>10</v>
      </c>
      <c r="W19" s="2281"/>
      <c r="X19" s="2281"/>
      <c r="Y19" s="2281"/>
      <c r="Z19" s="2281"/>
      <c r="AA19" s="2282"/>
      <c r="AB19" s="2280" cm="1">
        <f t="array" ref="AB19">SUMPRODUCT((Application!$B$714:$B$738 = 'CalHFA Addendum'!AB$18)*(Application!$AC$714:$AC$738 = 'CalHFA Addendum'!$B19),Application!$G$714:$G$738)</f>
        <v>1</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1</v>
      </c>
      <c r="AO19" s="2281"/>
      <c r="AP19" s="2281"/>
      <c r="AQ19" s="2281"/>
      <c r="AR19" s="2281"/>
      <c r="AS19" s="2282"/>
      <c r="AT19" s="2265">
        <f t="shared" ref="AT19:AT29" si="1">J19/$J$29</f>
        <v>0.95238095238095233</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0</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0</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0</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0</v>
      </c>
      <c r="W22" s="2281"/>
      <c r="X22" s="2281"/>
      <c r="Y22" s="2281"/>
      <c r="Z22" s="2281"/>
      <c r="AA22" s="2282"/>
      <c r="AB22" s="2280" cm="1">
        <f t="array" ref="AB22">SUMPRODUCT((Application!$B$714:$B$738 = 'CalHFA Addendum'!AB$18)*(Application!$AC$714:$AC$738 = 'CalHFA Addendum'!$B22),Application!$G$714:$G$738)</f>
        <v>0</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2432</v>
      </c>
      <c r="C28" s="2269"/>
      <c r="D28" s="2269"/>
      <c r="E28" s="2269"/>
      <c r="F28" s="2269"/>
      <c r="G28" s="2269"/>
      <c r="H28" s="2269"/>
      <c r="I28" s="2270"/>
      <c r="J28" s="2271">
        <f>SUM(P28:AS28)</f>
        <v>1</v>
      </c>
      <c r="K28" s="2272"/>
      <c r="L28" s="2272"/>
      <c r="M28" s="2272"/>
      <c r="N28" s="2272"/>
      <c r="O28" s="2273"/>
      <c r="P28" s="2271">
        <f>_xlfn.IFNA(VLOOKUP(P$18,Application!$J$773:$S$776,6,FALSE), 0)</f>
        <v>1</v>
      </c>
      <c r="Q28" s="2272"/>
      <c r="R28" s="2272"/>
      <c r="S28" s="2272"/>
      <c r="T28" s="2272"/>
      <c r="U28" s="2273"/>
      <c r="V28" s="2271">
        <f>_xlfn.IFNA(VLOOKUP(V$18,Application!$J$773:$S$776,6,FALSE), 0)</f>
        <v>0</v>
      </c>
      <c r="W28" s="2272"/>
      <c r="X28" s="2272"/>
      <c r="Y28" s="2272"/>
      <c r="Z28" s="2272"/>
      <c r="AA28" s="2273"/>
      <c r="AB28" s="2271">
        <f>_xlfn.IFNA(VLOOKUP(AB$18,Application!$J$773:$S$776,6,FALSE), 0)</f>
        <v>0</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4.7619047619047616E-2</v>
      </c>
      <c r="AU28" s="2275"/>
      <c r="AV28" s="2275"/>
      <c r="AW28" s="2275"/>
      <c r="AX28" s="2275"/>
      <c r="AY28" s="2276"/>
      <c r="AZ28" s="1190"/>
      <c r="BA28" s="1190"/>
      <c r="BB28" s="1190"/>
      <c r="BC28" s="1190"/>
      <c r="BD28" s="1190"/>
      <c r="BE28" s="1194"/>
    </row>
    <row r="29" spans="1:58" thickBot="1">
      <c r="A29" s="1190"/>
      <c r="B29" s="2251" t="s">
        <v>1587</v>
      </c>
      <c r="C29" s="2224"/>
      <c r="D29" s="2224"/>
      <c r="E29" s="2224"/>
      <c r="F29" s="2224"/>
      <c r="G29" s="2224"/>
      <c r="H29" s="2224"/>
      <c r="I29" s="2225"/>
      <c r="J29" s="2223">
        <f>SUM(J19:O28)</f>
        <v>21</v>
      </c>
      <c r="K29" s="2224"/>
      <c r="L29" s="2224"/>
      <c r="M29" s="2224"/>
      <c r="N29" s="2224"/>
      <c r="O29" s="2225"/>
      <c r="P29" s="2223">
        <f>SUM(P19:U28)</f>
        <v>9</v>
      </c>
      <c r="Q29" s="2224"/>
      <c r="R29" s="2224"/>
      <c r="S29" s="2224"/>
      <c r="T29" s="2224"/>
      <c r="U29" s="2225"/>
      <c r="V29" s="2223">
        <f>SUM(V19:AA28)</f>
        <v>10</v>
      </c>
      <c r="W29" s="2224"/>
      <c r="X29" s="2224"/>
      <c r="Y29" s="2224"/>
      <c r="Z29" s="2224"/>
      <c r="AA29" s="2225"/>
      <c r="AB29" s="2223">
        <f>SUM(AB19:AG28)</f>
        <v>1</v>
      </c>
      <c r="AC29" s="2224"/>
      <c r="AD29" s="2224"/>
      <c r="AE29" s="2224"/>
      <c r="AF29" s="2224"/>
      <c r="AG29" s="2225"/>
      <c r="AH29" s="2223">
        <f>SUM(AH19:AM28)</f>
        <v>0</v>
      </c>
      <c r="AI29" s="2224"/>
      <c r="AJ29" s="2224"/>
      <c r="AK29" s="2224"/>
      <c r="AL29" s="2224"/>
      <c r="AM29" s="2225"/>
      <c r="AN29" s="2223">
        <f>SUM(AN19:AS28)</f>
        <v>1</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2431</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2430</v>
      </c>
      <c r="C32" s="2233"/>
      <c r="D32" s="2233"/>
      <c r="E32" s="2233"/>
      <c r="F32" s="2233"/>
      <c r="G32" s="2233"/>
      <c r="H32" s="2233"/>
      <c r="I32" s="2233"/>
      <c r="J32" s="2236" t="s">
        <v>2429</v>
      </c>
      <c r="K32" s="2237"/>
      <c r="L32" s="2237"/>
      <c r="M32" s="2237"/>
      <c r="N32" s="2236" t="s">
        <v>2428</v>
      </c>
      <c r="O32" s="2237"/>
      <c r="P32" s="2237"/>
      <c r="Q32" s="2239"/>
      <c r="R32" s="2241" t="s">
        <v>2427</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2426</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2425</v>
      </c>
      <c r="AT35" s="2253"/>
      <c r="AU35" s="2253"/>
      <c r="AV35" s="2253"/>
      <c r="AW35" s="2253"/>
      <c r="AX35" s="2261"/>
      <c r="AY35" s="2252" t="s">
        <v>2424</v>
      </c>
      <c r="AZ35" s="2253"/>
      <c r="BA35" s="2253"/>
      <c r="BB35" s="2253"/>
      <c r="BC35" s="2253"/>
      <c r="BD35" s="2254"/>
      <c r="BE35" s="1194"/>
    </row>
    <row r="36" spans="1:58" ht="15.75" customHeight="1">
      <c r="A36" s="1190"/>
      <c r="B36" s="2156" t="s">
        <v>2423</v>
      </c>
      <c r="C36" s="2157"/>
      <c r="D36" s="2157"/>
      <c r="E36" s="2157"/>
      <c r="F36" s="2157"/>
      <c r="G36" s="2157"/>
      <c r="H36" s="2157"/>
      <c r="I36" s="2157"/>
      <c r="J36" s="2221" t="s">
        <v>2422</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2421</v>
      </c>
      <c r="C37" s="2157"/>
      <c r="D37" s="2157"/>
      <c r="E37" s="2157"/>
      <c r="F37" s="2157"/>
      <c r="G37" s="2157"/>
      <c r="H37" s="2157"/>
      <c r="I37" s="2157"/>
      <c r="J37" s="2221" t="s">
        <v>2420</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2419</v>
      </c>
      <c r="C38" s="2157"/>
      <c r="D38" s="2157"/>
      <c r="E38" s="2157"/>
      <c r="F38" s="2157"/>
      <c r="G38" s="2157"/>
      <c r="H38" s="2157"/>
      <c r="I38" s="2157"/>
      <c r="J38" s="2221" t="s">
        <v>2418</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2417</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2417</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2416</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2416</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2415</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2414</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2413</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2337</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2410</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2403</v>
      </c>
      <c r="C51" s="2099"/>
      <c r="D51" s="2099"/>
      <c r="E51" s="2099"/>
      <c r="F51" s="2099"/>
      <c r="G51" s="2099"/>
      <c r="H51" s="2099"/>
      <c r="I51" s="2099"/>
      <c r="J51" s="2099" t="s">
        <v>2409</v>
      </c>
      <c r="K51" s="2099"/>
      <c r="L51" s="2099"/>
      <c r="M51" s="2099"/>
      <c r="N51" s="2099"/>
      <c r="O51" s="2099"/>
      <c r="P51" s="2099"/>
      <c r="Q51" s="2099"/>
      <c r="R51" s="2200" t="s">
        <v>2408</v>
      </c>
      <c r="S51" s="2200"/>
      <c r="T51" s="2200"/>
      <c r="U51" s="2200"/>
      <c r="V51" s="2200"/>
      <c r="W51" s="2200"/>
      <c r="X51" s="2200"/>
      <c r="Y51" s="2200"/>
      <c r="Z51" s="2200" t="s">
        <v>2407</v>
      </c>
      <c r="AA51" s="2200"/>
      <c r="AB51" s="2200"/>
      <c r="AC51" s="2200"/>
      <c r="AD51" s="2200"/>
      <c r="AE51" s="2200"/>
      <c r="AF51" s="2200"/>
      <c r="AG51" s="2200"/>
      <c r="AH51" s="2200" t="s">
        <v>2406</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2405</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2404</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1587</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2403</v>
      </c>
      <c r="C59" s="2190"/>
      <c r="D59" s="2190"/>
      <c r="E59" s="2190"/>
      <c r="F59" s="2190"/>
      <c r="G59" s="2190"/>
      <c r="H59" s="2190"/>
      <c r="I59" s="2191"/>
      <c r="J59" s="2097" t="s">
        <v>2402</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2400</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2399</v>
      </c>
      <c r="AD68" s="2023"/>
      <c r="AE68" s="2023"/>
      <c r="AF68" s="2023"/>
      <c r="AG68" s="2023"/>
      <c r="AH68" s="2023"/>
      <c r="AI68" s="2023"/>
      <c r="AJ68" s="2023"/>
      <c r="AK68" s="2023"/>
      <c r="AL68" s="2023"/>
      <c r="AM68" s="2023"/>
      <c r="AN68" s="2023"/>
      <c r="AO68" s="2023"/>
      <c r="AP68" s="2023"/>
      <c r="AQ68" s="2023"/>
      <c r="AR68" s="2023"/>
      <c r="AS68" s="2023"/>
      <c r="AT68" s="2023"/>
      <c r="AU68" s="2023"/>
      <c r="AV68" s="2173" t="s">
        <v>670</v>
      </c>
      <c r="AW68" s="2079"/>
      <c r="AX68" s="2079"/>
      <c r="AY68" s="2079"/>
      <c r="AZ68" s="2079"/>
      <c r="BA68" s="2079"/>
      <c r="BB68" s="2079"/>
      <c r="BC68" s="2080"/>
      <c r="BD68" s="1190"/>
      <c r="BE68" s="1194"/>
      <c r="BM68" s="1199" t="s">
        <v>2398</v>
      </c>
    </row>
    <row r="69" spans="1:94" ht="15.75" customHeight="1" thickTop="1" thickBot="1">
      <c r="A69" s="1190"/>
      <c r="B69" s="2174" t="s">
        <v>2397</v>
      </c>
      <c r="C69" s="2175"/>
      <c r="D69" s="2175"/>
      <c r="E69" s="2175"/>
      <c r="F69" s="2175"/>
      <c r="G69" s="2175"/>
      <c r="H69" s="2175"/>
      <c r="I69" s="2175"/>
      <c r="J69" s="2175"/>
      <c r="K69" s="2175"/>
      <c r="L69" s="2175"/>
      <c r="M69" s="2175"/>
      <c r="N69" s="2175"/>
      <c r="O69" s="2176" t="s">
        <v>2396</v>
      </c>
      <c r="P69" s="2177"/>
      <c r="Q69" s="2177"/>
      <c r="R69" s="2177"/>
      <c r="S69" s="2177"/>
      <c r="T69" s="2177"/>
      <c r="U69" s="2177"/>
      <c r="V69" s="2177"/>
      <c r="W69" s="2177"/>
      <c r="X69" s="2177"/>
      <c r="Y69" s="2177"/>
      <c r="Z69" s="2177"/>
      <c r="AA69" s="2178"/>
      <c r="AB69" s="1190"/>
      <c r="AC69" s="2179" t="s">
        <v>2395</v>
      </c>
      <c r="AD69" s="2180"/>
      <c r="AE69" s="2180"/>
      <c r="AF69" s="2180"/>
      <c r="AG69" s="2180"/>
      <c r="AH69" s="2180"/>
      <c r="AI69" s="2180"/>
      <c r="AJ69" s="2180"/>
      <c r="AK69" s="2180"/>
      <c r="AL69" s="2180"/>
      <c r="AM69" s="2180"/>
      <c r="AN69" s="2180"/>
      <c r="AO69" s="2180"/>
      <c r="AP69" s="2180"/>
      <c r="AQ69" s="2180"/>
      <c r="AR69" s="2180"/>
      <c r="AS69" s="2180"/>
      <c r="AT69" s="2180"/>
      <c r="AU69" s="2180"/>
      <c r="AV69" s="2173" t="s">
        <v>670</v>
      </c>
      <c r="AW69" s="2079"/>
      <c r="AX69" s="2079"/>
      <c r="AY69" s="2079"/>
      <c r="AZ69" s="2079"/>
      <c r="BA69" s="2079"/>
      <c r="BB69" s="2079"/>
      <c r="BC69" s="2080"/>
      <c r="BD69" s="1190"/>
      <c r="BE69" s="1194"/>
      <c r="BM69" s="1200" t="s">
        <v>546</v>
      </c>
    </row>
    <row r="70" spans="1:94" ht="15.75" customHeight="1">
      <c r="A70" s="1190"/>
      <c r="B70" s="2156" t="s">
        <v>2394</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2393</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670</v>
      </c>
    </row>
    <row r="71" spans="1:94" ht="15.75" customHeight="1" thickBot="1">
      <c r="A71" s="1190"/>
      <c r="B71" s="2156" t="s">
        <v>2392</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2391</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2390</v>
      </c>
    </row>
    <row r="72" spans="1:94" ht="15.75" customHeight="1">
      <c r="A72" s="1190"/>
      <c r="B72" s="2156" t="s">
        <v>2389</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2388</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2387</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2332</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2385</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2384</v>
      </c>
      <c r="C81" s="2151"/>
      <c r="D81" s="2151"/>
      <c r="E81" s="2151"/>
      <c r="F81" s="2151"/>
      <c r="G81" s="2151"/>
      <c r="H81" s="2151"/>
      <c r="I81" s="2151"/>
      <c r="J81" s="2151"/>
      <c r="K81" s="2151"/>
      <c r="L81" s="2151"/>
      <c r="M81" s="2151"/>
      <c r="N81" s="2151"/>
      <c r="O81" s="2151"/>
      <c r="P81" s="2151"/>
      <c r="Q81" s="2151"/>
      <c r="R81" s="2132" t="s">
        <v>2190</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2383</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2382</v>
      </c>
      <c r="AK83" s="2121"/>
      <c r="AL83" s="2121"/>
      <c r="AM83" s="2121"/>
      <c r="AN83" s="2121"/>
      <c r="AO83" s="2121"/>
      <c r="AP83" s="2121"/>
      <c r="AQ83" s="2121"/>
      <c r="AR83" s="2121"/>
      <c r="AS83" s="2121"/>
      <c r="AT83" s="2121"/>
      <c r="AU83" s="2121"/>
      <c r="AV83" s="2121"/>
      <c r="AW83" s="2121"/>
      <c r="AX83" s="2121"/>
      <c r="AY83" s="2137" t="s">
        <v>546</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2372</v>
      </c>
      <c r="J84" s="2099"/>
      <c r="K84" s="2099"/>
      <c r="L84" s="2099"/>
      <c r="M84" s="2099"/>
      <c r="N84" s="2099"/>
      <c r="O84" s="2099" t="s">
        <v>2348</v>
      </c>
      <c r="P84" s="2099"/>
      <c r="Q84" s="2099"/>
      <c r="R84" s="2099"/>
      <c r="S84" s="2099"/>
      <c r="T84" s="2099"/>
      <c r="U84" s="2099"/>
      <c r="V84" s="2135" t="s">
        <v>2347</v>
      </c>
      <c r="W84" s="2135"/>
      <c r="X84" s="2135"/>
      <c r="Y84" s="2135"/>
      <c r="Z84" s="2135"/>
      <c r="AA84" s="2135"/>
      <c r="AB84" s="2069" t="s">
        <v>2371</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2370</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2369</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2376</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2368</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2380</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2379</v>
      </c>
      <c r="C94" s="2151"/>
      <c r="D94" s="2151"/>
      <c r="E94" s="2151"/>
      <c r="F94" s="2151"/>
      <c r="G94" s="2151"/>
      <c r="H94" s="2151"/>
      <c r="I94" s="2151"/>
      <c r="J94" s="2151"/>
      <c r="K94" s="2151"/>
      <c r="L94" s="2151"/>
      <c r="M94" s="2151"/>
      <c r="N94" s="2151"/>
      <c r="O94" s="2151"/>
      <c r="P94" s="2151"/>
      <c r="Q94" s="2152"/>
      <c r="R94" s="2132" t="s">
        <v>2190</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2378</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2377</v>
      </c>
      <c r="AK96" s="2121"/>
      <c r="AL96" s="2121"/>
      <c r="AM96" s="2121"/>
      <c r="AN96" s="2121"/>
      <c r="AO96" s="2121"/>
      <c r="AP96" s="2121"/>
      <c r="AQ96" s="2121"/>
      <c r="AR96" s="2121"/>
      <c r="AS96" s="2121"/>
      <c r="AT96" s="2121"/>
      <c r="AU96" s="2121"/>
      <c r="AV96" s="2121"/>
      <c r="AW96" s="2121"/>
      <c r="AX96" s="2121"/>
      <c r="AY96" s="2137" t="s">
        <v>546</v>
      </c>
      <c r="AZ96" s="2137"/>
      <c r="BA96" s="2137"/>
      <c r="BB96" s="2138"/>
      <c r="BC96" s="1190"/>
      <c r="BD96" s="1190"/>
      <c r="BE96" s="1194"/>
      <c r="BQ96" s="1256" t="str">
        <f>Application!M243&amp;IF(TRIM(Application!AA249)&lt;&gt;""," ("&amp;Application!AA249&amp;")","")</f>
        <v xml:space="preserve">Santa Cruz Veterans Memorial Building Board of Trustees </v>
      </c>
      <c r="BR96" s="1259">
        <f>Application!AH246</f>
        <v>0</v>
      </c>
      <c r="CM96" s="1188"/>
      <c r="CN96" s="1188"/>
      <c r="CO96" s="1188"/>
      <c r="CP96" s="1188"/>
    </row>
    <row r="97" spans="1:94" ht="15.75" customHeight="1">
      <c r="A97" s="1190"/>
      <c r="B97" s="2131"/>
      <c r="C97" s="2099"/>
      <c r="D97" s="2099"/>
      <c r="E97" s="2099"/>
      <c r="F97" s="2099"/>
      <c r="G97" s="2099"/>
      <c r="H97" s="2099"/>
      <c r="I97" s="2099" t="s">
        <v>2372</v>
      </c>
      <c r="J97" s="2099"/>
      <c r="K97" s="2099"/>
      <c r="L97" s="2099"/>
      <c r="M97" s="2099"/>
      <c r="N97" s="2099"/>
      <c r="O97" s="2099" t="s">
        <v>2348</v>
      </c>
      <c r="P97" s="2099"/>
      <c r="Q97" s="2099"/>
      <c r="R97" s="2099"/>
      <c r="S97" s="2099"/>
      <c r="T97" s="2099"/>
      <c r="U97" s="2099"/>
      <c r="V97" s="2135" t="s">
        <v>2347</v>
      </c>
      <c r="W97" s="2135"/>
      <c r="X97" s="2135"/>
      <c r="Y97" s="2135"/>
      <c r="Z97" s="2135"/>
      <c r="AA97" s="2135"/>
      <c r="AB97" s="2069" t="s">
        <v>2371</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Ben Lomond Highway 9 LLC (Johnson &amp; Johnson Investments, LLC)</v>
      </c>
      <c r="BR97" s="1259">
        <f>Application!AH254</f>
        <v>0</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2370</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2369</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2376</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2368</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2373</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2372</v>
      </c>
      <c r="J108" s="2099"/>
      <c r="K108" s="2099"/>
      <c r="L108" s="2099"/>
      <c r="M108" s="2099"/>
      <c r="N108" s="2099"/>
      <c r="O108" s="2099" t="s">
        <v>2348</v>
      </c>
      <c r="P108" s="2099"/>
      <c r="Q108" s="2099"/>
      <c r="R108" s="2099"/>
      <c r="S108" s="2099"/>
      <c r="T108" s="2099"/>
      <c r="U108" s="2099"/>
      <c r="V108" s="2135" t="s">
        <v>2347</v>
      </c>
      <c r="W108" s="2135"/>
      <c r="X108" s="2135"/>
      <c r="Y108" s="2135"/>
      <c r="Z108" s="2135"/>
      <c r="AA108" s="2135"/>
      <c r="AB108" s="2069" t="s">
        <v>2371</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2370</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2369</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2368</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2366</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2366</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2364</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1577</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2363</v>
      </c>
      <c r="J127" s="2099"/>
      <c r="K127" s="2099"/>
      <c r="L127" s="2099"/>
      <c r="M127" s="2099"/>
      <c r="N127" s="2099"/>
      <c r="O127" s="2100" t="s">
        <v>2362</v>
      </c>
      <c r="P127" s="2100"/>
      <c r="Q127" s="2100"/>
      <c r="R127" s="2100"/>
      <c r="S127" s="2100"/>
      <c r="T127" s="2100"/>
      <c r="U127" s="2101"/>
      <c r="V127" s="1190"/>
      <c r="W127" s="1190"/>
      <c r="X127" s="2039" t="s">
        <v>2332</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2346</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2345</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2360</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2348</v>
      </c>
      <c r="J134" s="2074"/>
      <c r="K134" s="2074"/>
      <c r="L134" s="2074"/>
      <c r="M134" s="2074"/>
      <c r="N134" s="2074"/>
      <c r="O134" s="2074"/>
      <c r="P134" s="2074" t="s">
        <v>2347</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2346</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2345</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2359</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2358</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2357</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2356</v>
      </c>
      <c r="C142" s="2082"/>
      <c r="D142" s="2082"/>
      <c r="E142" s="2082"/>
      <c r="F142" s="2082"/>
      <c r="G142" s="2082"/>
      <c r="H142" s="2082"/>
      <c r="I142" s="2082"/>
      <c r="J142" s="2082"/>
      <c r="K142" s="2082"/>
      <c r="L142" s="2082"/>
      <c r="M142" s="2082"/>
      <c r="N142" s="2082"/>
      <c r="O142" s="2082"/>
      <c r="P142" s="2082"/>
      <c r="Q142" s="2082"/>
      <c r="R142" s="2083" t="s">
        <v>2355</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2354</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2351</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2350</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2348</v>
      </c>
      <c r="J157" s="2074"/>
      <c r="K157" s="2074"/>
      <c r="L157" s="2074"/>
      <c r="M157" s="2074"/>
      <c r="N157" s="2074"/>
      <c r="O157" s="2074"/>
      <c r="P157" s="2074" t="s">
        <v>2349</v>
      </c>
      <c r="Q157" s="2074"/>
      <c r="R157" s="2074"/>
      <c r="S157" s="2074"/>
      <c r="T157" s="2074"/>
      <c r="U157" s="2075"/>
      <c r="V157" s="1190"/>
      <c r="W157" s="1190"/>
      <c r="X157" s="2036"/>
      <c r="Y157" s="2037"/>
      <c r="Z157" s="2037"/>
      <c r="AA157" s="2037"/>
      <c r="AB157" s="2037"/>
      <c r="AC157" s="2037"/>
      <c r="AD157" s="2037"/>
      <c r="AE157" s="2074" t="s">
        <v>2348</v>
      </c>
      <c r="AF157" s="2074"/>
      <c r="AG157" s="2074"/>
      <c r="AH157" s="2074"/>
      <c r="AI157" s="2074"/>
      <c r="AJ157" s="2074"/>
      <c r="AK157" s="2074"/>
      <c r="AL157" s="2074" t="s">
        <v>2347</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2346</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2346</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2345</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2344</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2329</v>
      </c>
      <c r="D163" s="2037"/>
      <c r="E163" s="2037"/>
      <c r="F163" s="2037"/>
      <c r="G163" s="2037"/>
      <c r="H163" s="2037"/>
      <c r="I163" s="2037"/>
      <c r="J163" s="2037"/>
      <c r="K163" s="2037"/>
      <c r="L163" s="2037"/>
      <c r="M163" s="2037"/>
      <c r="N163" s="2037"/>
      <c r="O163" s="2037"/>
      <c r="P163" s="2037"/>
      <c r="Q163" s="2037" t="s">
        <v>2343</v>
      </c>
      <c r="R163" s="2037"/>
      <c r="S163" s="2037"/>
      <c r="T163" s="2069" t="s">
        <v>2342</v>
      </c>
      <c r="U163" s="2069"/>
      <c r="V163" s="2069"/>
      <c r="W163" s="2069"/>
      <c r="X163" s="2069"/>
      <c r="Y163" s="2069"/>
      <c r="Z163" s="2069"/>
      <c r="AA163" s="2069"/>
      <c r="AB163" s="2037" t="s">
        <v>2341</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2340</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2339</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2338</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2337</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2318</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2318</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2318</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2336</v>
      </c>
      <c r="D172" s="2023"/>
      <c r="E172" s="2023"/>
      <c r="F172" s="2023"/>
      <c r="G172" s="2023"/>
      <c r="H172" s="2023"/>
      <c r="I172" s="2023"/>
      <c r="J172" s="2023"/>
      <c r="K172" s="2023"/>
      <c r="L172" s="2023"/>
      <c r="M172" s="2023"/>
      <c r="N172" s="2032"/>
      <c r="O172" s="1190"/>
      <c r="P172" s="2033" t="s">
        <v>2335</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2334</v>
      </c>
      <c r="D173" s="2037"/>
      <c r="E173" s="2037"/>
      <c r="F173" s="2037"/>
      <c r="G173" s="2037"/>
      <c r="H173" s="2037"/>
      <c r="I173" s="2037" t="s">
        <v>2333</v>
      </c>
      <c r="J173" s="2037"/>
      <c r="K173" s="2037"/>
      <c r="L173" s="2037"/>
      <c r="M173" s="2037"/>
      <c r="N173" s="2038"/>
      <c r="O173" s="1190"/>
      <c r="P173" s="2039" t="s">
        <v>2332</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2331</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2329</v>
      </c>
      <c r="D184" s="2023"/>
      <c r="E184" s="2023"/>
      <c r="F184" s="2023"/>
      <c r="G184" s="2023"/>
      <c r="H184" s="2023"/>
      <c r="I184" s="2023"/>
      <c r="J184" s="2023"/>
      <c r="K184" s="2023"/>
      <c r="L184" s="2023"/>
      <c r="M184" s="2023"/>
      <c r="N184" s="2023" t="s">
        <v>2330</v>
      </c>
      <c r="O184" s="2023"/>
      <c r="P184" s="2023"/>
      <c r="Q184" s="2023"/>
      <c r="R184" s="2023"/>
      <c r="S184" s="2023"/>
      <c r="T184" s="2023"/>
      <c r="U184" s="2024" t="s">
        <v>2329</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2328</v>
      </c>
      <c r="D185" s="2002"/>
      <c r="E185" s="2002"/>
      <c r="F185" s="2002"/>
      <c r="G185" s="2002"/>
      <c r="H185" s="2002"/>
      <c r="I185" s="2002"/>
      <c r="J185" s="2002"/>
      <c r="K185" s="2002"/>
      <c r="L185" s="2002"/>
      <c r="M185" s="2002"/>
      <c r="N185" s="2012">
        <f>'Sources and Uses Budget'!B105</f>
        <v>19214252</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2327</v>
      </c>
      <c r="D186" s="2002"/>
      <c r="E186" s="2002"/>
      <c r="F186" s="2002"/>
      <c r="G186" s="2002"/>
      <c r="H186" s="2002"/>
      <c r="I186" s="2002"/>
      <c r="J186" s="2002"/>
      <c r="K186" s="2002"/>
      <c r="L186" s="2002"/>
      <c r="M186" s="2002"/>
      <c r="N186" s="2012">
        <f>N185/J29</f>
        <v>914964.38095238095</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2326</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2325</v>
      </c>
      <c r="D188" s="2002"/>
      <c r="E188" s="2002"/>
      <c r="F188" s="2002"/>
      <c r="G188" s="2002"/>
      <c r="H188" s="2002"/>
      <c r="I188" s="2002"/>
      <c r="J188" s="2002"/>
      <c r="K188" s="2002"/>
      <c r="L188" s="2002"/>
      <c r="M188" s="2002"/>
      <c r="N188" s="2031">
        <f>SUM('Sources and Uses Budget'!B85:B86)</f>
        <v>800000</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2324</v>
      </c>
      <c r="D189" s="2002"/>
      <c r="E189" s="2002"/>
      <c r="F189" s="2002"/>
      <c r="G189" s="2002"/>
      <c r="H189" s="2002"/>
      <c r="I189" s="2002"/>
      <c r="J189" s="2002"/>
      <c r="K189" s="2002"/>
      <c r="L189" s="2002"/>
      <c r="M189" s="2002"/>
      <c r="N189" s="2031">
        <f>'Sources and Uses Budget'!B8</f>
        <v>553500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2322</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2323</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2322</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2321</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2320</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2318</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2319</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2318</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2318</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2317</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2316</v>
      </c>
      <c r="D195" s="1956"/>
      <c r="E195" s="1956"/>
      <c r="F195" s="1956"/>
      <c r="G195" s="1956"/>
      <c r="H195" s="1956"/>
      <c r="I195" s="1956"/>
      <c r="J195" s="1956"/>
      <c r="K195" s="1956"/>
      <c r="L195" s="1956"/>
      <c r="M195" s="1956"/>
      <c r="N195" s="1957">
        <f>SUM(N187:T194)</f>
        <v>1353500</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2315</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2314</v>
      </c>
      <c r="D196" s="1966"/>
      <c r="E196" s="1966"/>
      <c r="F196" s="1966"/>
      <c r="G196" s="1966"/>
      <c r="H196" s="1966"/>
      <c r="I196" s="1966"/>
      <c r="J196" s="1966"/>
      <c r="K196" s="1966"/>
      <c r="L196" s="1966"/>
      <c r="M196" s="1966"/>
      <c r="N196" s="1967">
        <f>(N185-N195)/J29</f>
        <v>850512</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2313</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2312</v>
      </c>
      <c r="D200" s="1953"/>
      <c r="E200" s="1953"/>
      <c r="F200" s="1953"/>
      <c r="G200" s="1953"/>
      <c r="H200" s="1953"/>
      <c r="I200" s="1953"/>
      <c r="J200" s="1953"/>
      <c r="K200" s="1953"/>
      <c r="L200" s="1953"/>
      <c r="M200" s="1953"/>
      <c r="N200" s="1953"/>
      <c r="O200" s="1954" t="s">
        <v>2311</v>
      </c>
      <c r="P200" s="1954"/>
      <c r="Q200" s="1954"/>
      <c r="R200" s="1954"/>
      <c r="S200" s="1954"/>
      <c r="T200" s="1954"/>
      <c r="U200" s="1954"/>
      <c r="V200" s="1954"/>
      <c r="W200" s="1954"/>
      <c r="X200" s="1954" t="s">
        <v>2310</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2309</v>
      </c>
      <c r="D201" s="1945"/>
      <c r="E201" s="1945"/>
      <c r="F201" s="1945"/>
      <c r="G201" s="1945"/>
      <c r="H201" s="1945"/>
      <c r="I201" s="1945"/>
      <c r="J201" s="1945"/>
      <c r="K201" s="1945"/>
      <c r="L201" s="1945"/>
      <c r="M201" s="1945"/>
      <c r="N201" s="1945"/>
      <c r="O201" s="1946" t="s">
        <v>2308</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855</v>
      </c>
      <c r="D202" s="1945"/>
      <c r="E202" s="1945"/>
      <c r="F202" s="1945"/>
      <c r="G202" s="1945"/>
      <c r="H202" s="1945"/>
      <c r="I202" s="1945"/>
      <c r="J202" s="1945"/>
      <c r="K202" s="1945"/>
      <c r="L202" s="1945"/>
      <c r="M202" s="1945"/>
      <c r="N202" s="1945"/>
      <c r="O202" s="1946" t="s">
        <v>2308</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2307</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2306</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2305</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2304</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2303</v>
      </c>
      <c r="D207" s="1924"/>
      <c r="E207" s="1924"/>
      <c r="F207" s="1925"/>
      <c r="G207" s="1929" t="s">
        <v>2302</v>
      </c>
      <c r="H207" s="1924"/>
      <c r="I207" s="1924"/>
      <c r="J207" s="1924"/>
      <c r="K207" s="1924"/>
      <c r="L207" s="1924"/>
      <c r="M207" s="1924"/>
      <c r="N207" s="1924"/>
      <c r="O207" s="1925"/>
      <c r="P207" s="1931" t="s">
        <v>2301</v>
      </c>
      <c r="Q207" s="1932"/>
      <c r="R207" s="1932"/>
      <c r="S207" s="1932"/>
      <c r="T207" s="1933"/>
      <c r="U207" s="1937" t="s">
        <v>2300</v>
      </c>
      <c r="V207" s="1938"/>
      <c r="W207" s="1938"/>
      <c r="X207" s="1939"/>
      <c r="Y207" s="1937" t="s">
        <v>2299</v>
      </c>
      <c r="Z207" s="1938"/>
      <c r="AA207" s="1938"/>
      <c r="AB207" s="1939"/>
      <c r="AC207" s="1937" t="s">
        <v>2298</v>
      </c>
      <c r="AD207" s="1938"/>
      <c r="AE207" s="1938"/>
      <c r="AF207" s="1939"/>
      <c r="AG207" s="1929" t="s">
        <v>2297</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1886</v>
      </c>
      <c r="H209" s="1914"/>
      <c r="I209" s="1914"/>
      <c r="J209" s="1914"/>
      <c r="K209" s="1914"/>
      <c r="L209" s="1914"/>
      <c r="M209" s="1914"/>
      <c r="N209" s="1914"/>
      <c r="O209" s="1914"/>
      <c r="P209" s="1915"/>
      <c r="Q209" s="1918"/>
      <c r="R209" s="1918"/>
      <c r="S209" s="1918"/>
      <c r="T209" s="1918"/>
      <c r="U209" s="1916" t="s">
        <v>1886</v>
      </c>
      <c r="V209" s="1916"/>
      <c r="W209" s="1916"/>
      <c r="X209" s="1916"/>
      <c r="Y209" s="1916" t="s">
        <v>1886</v>
      </c>
      <c r="Z209" s="1916"/>
      <c r="AA209" s="1916"/>
      <c r="AB209" s="1916"/>
      <c r="AC209" s="1917" t="s">
        <v>1886</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1886</v>
      </c>
      <c r="H210" s="1914"/>
      <c r="I210" s="1914"/>
      <c r="J210" s="1914"/>
      <c r="K210" s="1914"/>
      <c r="L210" s="1914"/>
      <c r="M210" s="1914"/>
      <c r="N210" s="1914"/>
      <c r="O210" s="1914"/>
      <c r="P210" s="1915"/>
      <c r="Q210" s="1915"/>
      <c r="R210" s="1915"/>
      <c r="S210" s="1915"/>
      <c r="T210" s="1915"/>
      <c r="U210" s="1916" t="s">
        <v>1886</v>
      </c>
      <c r="V210" s="1916"/>
      <c r="W210" s="1916"/>
      <c r="X210" s="1916"/>
      <c r="Y210" s="1916" t="s">
        <v>1886</v>
      </c>
      <c r="Z210" s="1916"/>
      <c r="AA210" s="1916"/>
      <c r="AB210" s="1916"/>
      <c r="AC210" s="1917" t="s">
        <v>1886</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1886</v>
      </c>
      <c r="H211" s="1914"/>
      <c r="I211" s="1914"/>
      <c r="J211" s="1914"/>
      <c r="K211" s="1914"/>
      <c r="L211" s="1914"/>
      <c r="M211" s="1914"/>
      <c r="N211" s="1914"/>
      <c r="O211" s="1914"/>
      <c r="P211" s="1915"/>
      <c r="Q211" s="1915"/>
      <c r="R211" s="1915"/>
      <c r="S211" s="1915"/>
      <c r="T211" s="1915"/>
      <c r="U211" s="1916" t="s">
        <v>1886</v>
      </c>
      <c r="V211" s="1916"/>
      <c r="W211" s="1916"/>
      <c r="X211" s="1916"/>
      <c r="Y211" s="1916" t="s">
        <v>1886</v>
      </c>
      <c r="Z211" s="1916"/>
      <c r="AA211" s="1916"/>
      <c r="AB211" s="1916"/>
      <c r="AC211" s="1917" t="s">
        <v>1886</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1886</v>
      </c>
      <c r="H212" s="1914"/>
      <c r="I212" s="1914"/>
      <c r="J212" s="1914"/>
      <c r="K212" s="1914"/>
      <c r="L212" s="1914"/>
      <c r="M212" s="1914"/>
      <c r="N212" s="1914"/>
      <c r="O212" s="1914"/>
      <c r="P212" s="1915"/>
      <c r="Q212" s="1915"/>
      <c r="R212" s="1915"/>
      <c r="S212" s="1915"/>
      <c r="T212" s="1915"/>
      <c r="U212" s="1916" t="s">
        <v>1886</v>
      </c>
      <c r="V212" s="1916"/>
      <c r="W212" s="1916"/>
      <c r="X212" s="1916"/>
      <c r="Y212" s="1916" t="s">
        <v>1886</v>
      </c>
      <c r="Z212" s="1916"/>
      <c r="AA212" s="1916"/>
      <c r="AB212" s="1916"/>
      <c r="AC212" s="1917" t="s">
        <v>1886</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1886</v>
      </c>
      <c r="H213" s="1914"/>
      <c r="I213" s="1914"/>
      <c r="J213" s="1914"/>
      <c r="K213" s="1914"/>
      <c r="L213" s="1914"/>
      <c r="M213" s="1914"/>
      <c r="N213" s="1914"/>
      <c r="O213" s="1914"/>
      <c r="P213" s="1915"/>
      <c r="Q213" s="1915"/>
      <c r="R213" s="1915"/>
      <c r="S213" s="1915"/>
      <c r="T213" s="1915"/>
      <c r="U213" s="1916" t="s">
        <v>1886</v>
      </c>
      <c r="V213" s="1916"/>
      <c r="W213" s="1916"/>
      <c r="X213" s="1916"/>
      <c r="Y213" s="1916" t="s">
        <v>1886</v>
      </c>
      <c r="Z213" s="1916"/>
      <c r="AA213" s="1916"/>
      <c r="AB213" s="1916"/>
      <c r="AC213" s="1917" t="s">
        <v>1886</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1886</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1886</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1886</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2296</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2294</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2293</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2292</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2291</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2289</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2288</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2287</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2286</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2285</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442</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2284</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2283</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7" sqref="AB57:AF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1281</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15116195</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498</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499</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500</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501</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806</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502</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3" t="s">
        <v>961</v>
      </c>
      <c r="D18" s="1563"/>
      <c r="E18" s="1563"/>
      <c r="F18" s="1563"/>
      <c r="G18" s="1563"/>
      <c r="H18" s="1563"/>
      <c r="I18" s="1563"/>
      <c r="J18" s="1563"/>
      <c r="K18" s="1563"/>
      <c r="L18" s="1563"/>
      <c r="M18" s="1563"/>
      <c r="N18" s="1563"/>
      <c r="O18" s="1563"/>
      <c r="P18" s="1563"/>
      <c r="Q18" s="1563"/>
      <c r="R18" s="1563"/>
      <c r="S18" s="1564"/>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3" t="s">
        <v>961</v>
      </c>
      <c r="D19" s="1563"/>
      <c r="E19" s="1563"/>
      <c r="F19" s="1563"/>
      <c r="G19" s="1563"/>
      <c r="H19" s="1563"/>
      <c r="I19" s="1563"/>
      <c r="J19" s="1563"/>
      <c r="K19" s="1563"/>
      <c r="L19" s="1563"/>
      <c r="M19" s="1563"/>
      <c r="N19" s="1563"/>
      <c r="O19" s="1563"/>
      <c r="P19" s="1563"/>
      <c r="Q19" s="1563"/>
      <c r="R19" s="1563"/>
      <c r="S19" s="1564"/>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503</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1264</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504</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505</v>
      </c>
      <c r="C23" s="2339"/>
      <c r="D23" s="2339"/>
      <c r="E23" s="2339"/>
      <c r="F23" s="2339"/>
      <c r="G23" s="2339"/>
      <c r="H23" s="2339"/>
      <c r="I23" s="2339"/>
      <c r="J23" s="2339"/>
      <c r="K23" s="2339"/>
      <c r="L23" s="2339"/>
      <c r="M23" s="2339"/>
      <c r="N23" s="2339"/>
      <c r="O23" s="2339"/>
      <c r="P23" s="2339"/>
      <c r="Q23" s="2339"/>
      <c r="R23" s="2339"/>
      <c r="S23" s="2340"/>
      <c r="T23" s="2351">
        <f>T11+T22</f>
        <v>15116195</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962</v>
      </c>
      <c r="C24" s="2339"/>
      <c r="D24" s="2339"/>
      <c r="E24" s="2339"/>
      <c r="F24" s="2339"/>
      <c r="G24" s="2339"/>
      <c r="H24" s="2339"/>
      <c r="I24" s="2339"/>
      <c r="J24" s="2339"/>
      <c r="K24" s="2339"/>
      <c r="L24" s="2339"/>
      <c r="M24" s="2339"/>
      <c r="N24" s="2339"/>
      <c r="O24" s="2339"/>
      <c r="P24" s="2339"/>
      <c r="Q24" s="2339"/>
      <c r="R24" s="2339"/>
      <c r="S24" s="2340"/>
      <c r="T24" s="2342">
        <f>Application!AJ1053</f>
        <v>32091041</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1265</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506</v>
      </c>
      <c r="C26" s="2339"/>
      <c r="D26" s="2339"/>
      <c r="E26" s="2339"/>
      <c r="F26" s="2339"/>
      <c r="G26" s="2339"/>
      <c r="H26" s="2339"/>
      <c r="I26" s="2339"/>
      <c r="J26" s="2339"/>
      <c r="K26" s="2339"/>
      <c r="L26" s="2339"/>
      <c r="M26" s="2339"/>
      <c r="N26" s="2339"/>
      <c r="O26" s="2339"/>
      <c r="P26" s="2339"/>
      <c r="Q26" s="2339"/>
      <c r="R26" s="2339"/>
      <c r="S26" s="2340"/>
      <c r="T26" s="2351">
        <f>T23*T25</f>
        <v>19651053.5</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51">
        <f>IF(ISERROR((T26*T27)),0,(T26*T27))</f>
        <v>19651053.5</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524</v>
      </c>
      <c r="C29" s="2339"/>
      <c r="D29" s="2339"/>
      <c r="E29" s="2339"/>
      <c r="F29" s="2339"/>
      <c r="G29" s="2339"/>
      <c r="H29" s="2339"/>
      <c r="I29" s="2339"/>
      <c r="J29" s="2339"/>
      <c r="K29" s="2339"/>
      <c r="L29" s="2339"/>
      <c r="M29" s="2339"/>
      <c r="N29" s="2339"/>
      <c r="O29" s="2339"/>
      <c r="P29" s="2339"/>
      <c r="Q29" s="2339"/>
      <c r="R29" s="2339"/>
      <c r="S29" s="2340"/>
      <c r="T29" s="2342">
        <f>T28+Y28+AD28+AI28</f>
        <v>19651053.5</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1267</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1266</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1155</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19651053.5</v>
      </c>
      <c r="Z38" s="2332"/>
      <c r="AA38" s="2332"/>
      <c r="AB38" s="2332"/>
      <c r="AC38" s="2332"/>
      <c r="AD38" s="2332">
        <f>IF(T24&gt;=(T23+Y23+AD23+AI23),AD28+AI28,0)</f>
        <v>0</v>
      </c>
      <c r="AE38" s="2332"/>
      <c r="AF38" s="2332"/>
      <c r="AG38" s="2332"/>
      <c r="AH38" s="2332"/>
    </row>
    <row r="39" spans="1:76" ht="12.95" customHeight="1">
      <c r="B39" s="2338" t="s">
        <v>1692</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786042</v>
      </c>
      <c r="Z40" s="2332"/>
      <c r="AA40" s="2332"/>
      <c r="AB40" s="2332"/>
      <c r="AC40" s="2332"/>
      <c r="AD40" s="2351">
        <f>ROUND(AD38*AD39,0)</f>
        <v>0</v>
      </c>
      <c r="AE40" s="2332"/>
      <c r="AF40" s="2332"/>
      <c r="AG40" s="2332"/>
      <c r="AH40" s="2332"/>
    </row>
    <row r="41" spans="1:76" ht="12.95"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786042</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1277</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587</v>
      </c>
      <c r="C46" s="404" t="s">
        <v>282</v>
      </c>
    </row>
    <row r="47" spans="1:76" ht="12.95" customHeight="1">
      <c r="D47" s="404" t="s">
        <v>283</v>
      </c>
      <c r="AB47" s="2346">
        <f>'Sources and Uses Budget'!B105-MAX(IF('Sources and Uses Budget'!B15="",0,'Sources and Uses Budget'!B15),IF(Application!AG394="",0,Application!AG394))</f>
        <v>19214252</v>
      </c>
      <c r="AC47" s="2347"/>
      <c r="AD47" s="2347"/>
      <c r="AE47" s="2347"/>
      <c r="AF47" s="2348"/>
    </row>
    <row r="48" spans="1:76" ht="12.95" customHeight="1">
      <c r="D48" s="404" t="s">
        <v>21</v>
      </c>
      <c r="AB48" s="2346">
        <f>Application!AO639-MAX(IF('Sources and Uses Budget'!B15="",0,'Sources and Uses Budget'!B15),IF(Application!AG394="",0,Application!AG394))</f>
        <v>8962894</v>
      </c>
      <c r="AC48" s="2347"/>
      <c r="AD48" s="2347"/>
      <c r="AE48" s="2347"/>
      <c r="AF48" s="2348"/>
    </row>
    <row r="49" spans="1:76" ht="12.95" customHeight="1">
      <c r="D49" s="404" t="s">
        <v>91</v>
      </c>
      <c r="AB49" s="2346">
        <f>AB47-AB48</f>
        <v>10251358</v>
      </c>
      <c r="AC49" s="2347"/>
      <c r="AD49" s="2347"/>
      <c r="AE49" s="2347"/>
      <c r="AF49" s="2348"/>
    </row>
    <row r="50" spans="1:76" ht="12.95" customHeight="1">
      <c r="D50" s="404" t="s">
        <v>682</v>
      </c>
      <c r="AA50" s="415"/>
      <c r="AB50" s="2334">
        <v>0.85</v>
      </c>
      <c r="AC50" s="2335"/>
      <c r="AD50" s="2335"/>
      <c r="AE50" s="2335"/>
      <c r="AF50" s="2336"/>
    </row>
    <row r="51" spans="1:76" s="417" customFormat="1" ht="12.95" customHeight="1">
      <c r="A51" s="402"/>
      <c r="B51" s="402"/>
      <c r="C51" s="402"/>
      <c r="D51" s="402"/>
      <c r="E51" s="2345" t="s">
        <v>1851</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12060421</v>
      </c>
      <c r="AC54" s="2347"/>
      <c r="AD54" s="2347"/>
      <c r="AE54" s="2347"/>
      <c r="AF54" s="2348"/>
    </row>
    <row r="55" spans="1:76" ht="12.95" customHeight="1">
      <c r="D55" s="404" t="s">
        <v>333</v>
      </c>
      <c r="AB55" s="2346">
        <f>(AB54/10)</f>
        <v>1206042.1000000001</v>
      </c>
      <c r="AC55" s="2347"/>
      <c r="AD55" s="2347"/>
      <c r="AE55" s="2347"/>
      <c r="AF55" s="2348"/>
    </row>
    <row r="56" spans="1:76" ht="12.95" customHeight="1">
      <c r="D56" s="404" t="s">
        <v>757</v>
      </c>
      <c r="AB56" s="2346">
        <f>ROUND((IF((Y41&lt;AB55),Y41,AB55)),0)</f>
        <v>786042</v>
      </c>
      <c r="AC56" s="2347"/>
      <c r="AD56" s="2347"/>
      <c r="AE56" s="2347"/>
      <c r="AF56" s="2348"/>
    </row>
    <row r="57" spans="1:76" ht="12.95" customHeight="1">
      <c r="D57" s="404" t="s">
        <v>756</v>
      </c>
      <c r="AB57" s="2346">
        <f>ROUND((10*AB56*AB50),0)</f>
        <v>6681357</v>
      </c>
      <c r="AC57" s="2347"/>
      <c r="AD57" s="2347"/>
      <c r="AE57" s="2347"/>
      <c r="AF57" s="2348"/>
    </row>
    <row r="58" spans="1:76" ht="12.95" customHeight="1">
      <c r="D58" s="404"/>
      <c r="AB58" s="423"/>
      <c r="AC58" s="423"/>
      <c r="AD58" s="423"/>
      <c r="AE58" s="423"/>
      <c r="AF58" s="423"/>
    </row>
    <row r="59" spans="1:76" ht="12.95" customHeight="1">
      <c r="D59" s="404" t="s">
        <v>755</v>
      </c>
      <c r="AB59" s="2330">
        <f>AB49-AB57</f>
        <v>3570001</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590</v>
      </c>
      <c r="C63" s="205" t="s">
        <v>1249</v>
      </c>
      <c r="Y63" s="2341" t="s">
        <v>985</v>
      </c>
      <c r="Z63" s="2341"/>
      <c r="AA63" s="2341"/>
      <c r="AB63" s="2341"/>
      <c r="AC63" s="2341"/>
      <c r="AD63" s="2341" t="s">
        <v>369</v>
      </c>
      <c r="AE63" s="2341"/>
      <c r="AF63" s="2341"/>
      <c r="AG63" s="2341"/>
      <c r="AH63" s="2341"/>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15116195</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cm="1">
        <f t="array" ref="Y67">_xlfn.IFS(OR(Application!Z205="State Farmworker Credit",Application!Z205="$500M (Farmworker Housing)"),0.75,Application!Z205="15% set-aside",0.13,Application!Z205="15% set-aside with qualifying low value rehab",0.95,Application!Z205="$500M",0.3,TRUE,0)</f>
        <v>0.3</v>
      </c>
      <c r="Z67" s="2331"/>
      <c r="AA67" s="2331"/>
      <c r="AB67" s="2331"/>
      <c r="AC67" s="2331"/>
      <c r="AD67" s="2331" cm="1">
        <f t="array" ref="AD67">_xlfn.IFS(Application!Z205="15% set-aside with qualifying low value rehab", 0.95,OR(Application!D211="At-Risk",'Points System'!B13="Yes"),0.13,TRUE,0)</f>
        <v>0</v>
      </c>
      <c r="AE67" s="2331"/>
      <c r="AF67" s="2331"/>
      <c r="AG67" s="2331"/>
      <c r="AH67" s="2331"/>
    </row>
    <row r="68" spans="1:36" ht="12.95" customHeight="1">
      <c r="C68" s="404"/>
      <c r="D68" s="205" t="s">
        <v>2226</v>
      </c>
      <c r="Y68" s="2332">
        <f>ROUND(Y64*Y67,0)</f>
        <v>4534859</v>
      </c>
      <c r="Z68" s="2333"/>
      <c r="AA68" s="2333"/>
      <c r="AB68" s="2333"/>
      <c r="AC68" s="2333"/>
      <c r="AD68" s="2332">
        <f>ROUND(AD64*AD67,0)</f>
        <v>0</v>
      </c>
      <c r="AE68" s="2333"/>
      <c r="AF68" s="2333"/>
      <c r="AG68" s="2333"/>
      <c r="AH68" s="2333"/>
    </row>
    <row r="69" spans="1:36" ht="12.95" customHeight="1">
      <c r="C69" s="404"/>
      <c r="D69" s="205" t="s">
        <v>2227</v>
      </c>
      <c r="Y69" s="2332">
        <f>IF(OR(Application!Z205="State Farmworker Credit",Application!Z205="$500M (Farmworker Housing)"),Y68+AD68,MIN(Y68+AD68,200000*(Application!G753+Application!O777)))</f>
        <v>4200000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4">
        <v>0.85000200000000004</v>
      </c>
      <c r="AC72" s="2335"/>
      <c r="AD72" s="2335"/>
      <c r="AE72" s="2335"/>
      <c r="AF72" s="2336"/>
    </row>
    <row r="73" spans="1:36" ht="12.95" customHeight="1">
      <c r="A73" s="404"/>
      <c r="C73" s="404"/>
      <c r="D73" s="404"/>
      <c r="E73" s="2337" t="s">
        <v>1252</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5">
        <f>ROUND(IF(ISERROR((AB59/AB72)),0,(AB59/AB72)),0)</f>
        <v>4199991</v>
      </c>
      <c r="AC77" s="2325"/>
      <c r="AD77" s="2325"/>
      <c r="AE77" s="2325"/>
      <c r="AF77" s="2325"/>
    </row>
    <row r="78" spans="1:36" ht="12.95" customHeight="1">
      <c r="C78" s="404"/>
      <c r="D78" s="205" t="s">
        <v>1254</v>
      </c>
      <c r="AB78" s="2326">
        <f>ROUNDUP(MIN(Y69,AB77),0)</f>
        <v>4199991</v>
      </c>
      <c r="AC78" s="2327"/>
      <c r="AD78" s="2327"/>
      <c r="AE78" s="2327"/>
      <c r="AF78" s="2328"/>
    </row>
    <row r="79" spans="1:36" ht="12.95" customHeight="1">
      <c r="C79" s="404"/>
      <c r="D79" s="205" t="s">
        <v>1255</v>
      </c>
      <c r="AB79" s="2329">
        <f>AB78*AB72</f>
        <v>3570000.7499820003</v>
      </c>
      <c r="AC79" s="2329"/>
      <c r="AD79" s="2329"/>
      <c r="AE79" s="2329"/>
      <c r="AF79" s="2329"/>
    </row>
    <row r="80" spans="1:36" ht="12.95" customHeight="1">
      <c r="C80" s="404"/>
      <c r="D80" s="404"/>
      <c r="AB80" s="425"/>
      <c r="AC80" s="425"/>
      <c r="AD80" s="425"/>
      <c r="AE80" s="425"/>
      <c r="AF80" s="425"/>
    </row>
    <row r="81" spans="1:78" ht="12.95" customHeight="1">
      <c r="D81" s="404" t="s">
        <v>755</v>
      </c>
      <c r="AB81" s="2330">
        <f>AB49-(AB57+AB79)</f>
        <v>0.25001800060272217</v>
      </c>
      <c r="AC81" s="2330"/>
      <c r="AD81" s="2330"/>
      <c r="AE81" s="2330"/>
      <c r="AF81" s="2330"/>
    </row>
    <row r="82" spans="1:78" ht="12.95" customHeight="1">
      <c r="F82" s="522"/>
      <c r="J82" s="522" t="str">
        <f>IF(AB81&gt;0,"FUNDING GAP MUST NOT EXCEED ZERO","")</f>
        <v>FUNDING GAP MUST NOT EXCEED ZERO</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6" workbookViewId="0">
      <selection activeCell="S11" sqref="S1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1301</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1306</v>
      </c>
      <c r="AF7" s="2404"/>
      <c r="AG7" s="2404"/>
      <c r="AH7" s="2404"/>
      <c r="AI7" s="2404"/>
      <c r="AJ7" s="2404"/>
      <c r="AK7" s="2404"/>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592</v>
      </c>
      <c r="C13" s="239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592</v>
      </c>
      <c r="C16" s="2394"/>
      <c r="D16" s="547"/>
      <c r="E16" s="2405" t="s">
        <v>1308</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592</v>
      </c>
      <c r="C22" s="2394"/>
      <c r="D22" s="547"/>
      <c r="E22" s="2430" t="s">
        <v>1311</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592</v>
      </c>
      <c r="C25" s="2394"/>
      <c r="D25" s="547"/>
      <c r="E25" s="2395" t="s">
        <v>2035</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592</v>
      </c>
      <c r="C28" s="2394"/>
      <c r="D28" s="547"/>
      <c r="E28" s="2418" t="s">
        <v>2250</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4" t="s">
        <v>592</v>
      </c>
      <c r="C33" s="2394"/>
      <c r="D33" s="547"/>
      <c r="E33" s="2430" t="s">
        <v>2252</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592</v>
      </c>
      <c r="C36" s="2394"/>
      <c r="D36" s="547"/>
      <c r="E36" s="2395" t="s">
        <v>2253</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592</v>
      </c>
      <c r="C40" s="2394"/>
      <c r="D40" s="547"/>
      <c r="E40" s="2395" t="s">
        <v>2251</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592</v>
      </c>
      <c r="C45" s="2394"/>
      <c r="D45" s="1142"/>
      <c r="E45" s="2395" t="s">
        <v>2010</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592</v>
      </c>
      <c r="C52" s="2394"/>
      <c r="D52" s="540"/>
      <c r="E52" s="2395" t="s">
        <v>2015</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592</v>
      </c>
      <c r="C56" s="2394"/>
      <c r="D56" s="540"/>
      <c r="E56" s="2415" t="s">
        <v>2016</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592</v>
      </c>
      <c r="C58" s="2394"/>
      <c r="D58" s="540"/>
      <c r="E58" s="2395" t="s">
        <v>2017</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1315</v>
      </c>
      <c r="AF65" s="2404"/>
      <c r="AG65" s="2404"/>
      <c r="AH65" s="2404"/>
      <c r="AI65" s="2404"/>
      <c r="AJ65" s="2404"/>
      <c r="AK65" s="2404"/>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592</v>
      </c>
      <c r="C68" s="2394"/>
      <c r="D68" s="547" t="s">
        <v>1316</v>
      </c>
      <c r="E68" s="2405" t="s">
        <v>2018</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10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1317</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546</v>
      </c>
      <c r="C74" s="239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592</v>
      </c>
      <c r="F75" s="239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592</v>
      </c>
      <c r="F76" s="239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592</v>
      </c>
      <c r="F77" s="239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546</v>
      </c>
      <c r="F79" s="239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592</v>
      </c>
      <c r="C81" s="2394"/>
      <c r="D81" s="547" t="s">
        <v>1321</v>
      </c>
      <c r="E81" s="2395" t="s">
        <v>1741</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1306</v>
      </c>
      <c r="AF87" s="2404"/>
      <c r="AG87" s="2404"/>
      <c r="AH87" s="2404"/>
      <c r="AI87" s="2404"/>
      <c r="AJ87" s="2404"/>
      <c r="AK87" s="2404"/>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546</v>
      </c>
      <c r="C90" s="2394"/>
      <c r="D90" s="547" t="s">
        <v>1316</v>
      </c>
      <c r="E90" s="2405" t="s">
        <v>1326</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0.30000000000000004</v>
      </c>
      <c r="F93" s="2389"/>
      <c r="G93" s="2389"/>
      <c r="H93" s="238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0.3</v>
      </c>
      <c r="F94" s="2391"/>
      <c r="G94" s="2391"/>
      <c r="H94" s="2391"/>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20</v>
      </c>
      <c r="F95" s="2422"/>
      <c r="G95" s="2422"/>
      <c r="H95" s="2422"/>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592</v>
      </c>
      <c r="C98" s="2394"/>
      <c r="D98" s="547" t="s">
        <v>1318</v>
      </c>
      <c r="E98" s="2405" t="s">
        <v>1726</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0.30000000000000004</v>
      </c>
      <c r="F103" s="2389"/>
      <c r="G103" s="2389"/>
      <c r="H103" s="238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1</v>
      </c>
      <c r="F104" s="2389"/>
      <c r="G104" s="2389"/>
      <c r="H104" s="238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v>
      </c>
      <c r="F105" s="2389"/>
      <c r="G105" s="2389"/>
      <c r="H105" s="238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7">
        <f>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1315</v>
      </c>
      <c r="AF112" s="2404"/>
      <c r="AG112" s="2404"/>
      <c r="AH112" s="2404"/>
      <c r="AI112" s="2404"/>
      <c r="AJ112" s="2404"/>
      <c r="AK112" s="2404"/>
      <c r="AL112" s="540"/>
      <c r="AM112" s="540"/>
      <c r="AN112" s="535"/>
      <c r="AO112" s="536" t="str">
        <f>Application!B718</f>
        <v>SRO/Studio</v>
      </c>
      <c r="AQ112" s="536">
        <f>Application!O718</f>
        <v>305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1038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1112</v>
      </c>
    </row>
    <row r="115" spans="1:52" s="536" customFormat="1" ht="12.75" customHeight="1">
      <c r="A115" s="540"/>
      <c r="B115" s="2394" t="s">
        <v>546</v>
      </c>
      <c r="C115" s="2394"/>
      <c r="D115" s="547" t="s">
        <v>1316</v>
      </c>
      <c r="E115" s="2405" t="s">
        <v>1859</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2 Bedrooms</v>
      </c>
      <c r="AQ115" s="536">
        <f>Application!O721</f>
        <v>1335</v>
      </c>
      <c r="AU115" s="536" t="s">
        <v>1841</v>
      </c>
      <c r="AV115" s="595" t="s">
        <v>1842</v>
      </c>
      <c r="AW115" s="536" t="s">
        <v>1843</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4 Bedrooms</v>
      </c>
      <c r="AQ116" s="536">
        <f>Application!O722</f>
        <v>1720</v>
      </c>
      <c r="AU116" s="856" t="str">
        <f>E124</f>
        <v>Studio/SRO</v>
      </c>
      <c r="AV116" s="536">
        <f t="array" ref="AV116">SUM(IF(Application!B718:F752="SRO/Studio",Application!G718:J752))</f>
        <v>8</v>
      </c>
      <c r="AW116" s="1011">
        <f>AV116/AV122</f>
        <v>0.4</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f>Application!B723</f>
        <v>0</v>
      </c>
      <c r="AQ117" s="536">
        <f>Application!O723</f>
        <v>0</v>
      </c>
      <c r="AU117" s="856" t="str">
        <f>J124</f>
        <v>1-bedroom</v>
      </c>
      <c r="AV117" s="536">
        <f t="array" ref="AV117">SUM(IF(Application!B718:F752="1 Bedroom",Application!G718:J752))</f>
        <v>10</v>
      </c>
      <c r="AW117" s="1011">
        <f>AV117/AV122</f>
        <v>0.5</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f>Application!B724</f>
        <v>0</v>
      </c>
      <c r="AQ118" s="536">
        <f>Application!O724</f>
        <v>0</v>
      </c>
      <c r="AU118" s="856" t="str">
        <f>O124</f>
        <v>2-bedroom</v>
      </c>
      <c r="AV118" s="536">
        <f t="array" ref="AV118">SUM(IF(Application!B718:F752="2 Bedrooms",Application!G718:J752))</f>
        <v>1</v>
      </c>
      <c r="AW118" s="1011">
        <f>AV118/AV122</f>
        <v>0.05</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f>Application!B726</f>
        <v>0</v>
      </c>
      <c r="AQ120" s="536">
        <f>Application!O726</f>
        <v>0</v>
      </c>
      <c r="AU120" s="856" t="str">
        <f>Y124</f>
        <v>4-bedroom</v>
      </c>
      <c r="AV120" s="536">
        <f t="array" ref="AV120">SUM(IF(Application!B718:F752="4 Bedrooms",Application!G718:J752))</f>
        <v>1</v>
      </c>
      <c r="AW120" s="1011">
        <f>AV120/AV122</f>
        <v>0.05</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20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1589</v>
      </c>
      <c r="F124" s="2389"/>
      <c r="G124" s="2389"/>
      <c r="H124" s="2389"/>
      <c r="I124" s="577"/>
      <c r="J124" s="2389" t="s">
        <v>1632</v>
      </c>
      <c r="K124" s="2389"/>
      <c r="L124" s="2389"/>
      <c r="M124" s="2389"/>
      <c r="N124" s="577"/>
      <c r="O124" s="2389" t="s">
        <v>1633</v>
      </c>
      <c r="P124" s="2389"/>
      <c r="Q124" s="2389"/>
      <c r="R124" s="2389"/>
      <c r="S124" s="577"/>
      <c r="T124" s="2389" t="s">
        <v>1335</v>
      </c>
      <c r="U124" s="2389"/>
      <c r="V124" s="2389"/>
      <c r="W124" s="2389"/>
      <c r="X124" s="577"/>
      <c r="Y124" s="2389" t="s">
        <v>1634</v>
      </c>
      <c r="Z124" s="2389"/>
      <c r="AA124" s="2389"/>
      <c r="AB124" s="2389"/>
      <c r="AC124" s="577"/>
      <c r="AD124" s="2389" t="s">
        <v>1635</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v>2628</v>
      </c>
      <c r="F127" s="2449"/>
      <c r="G127" s="2449"/>
      <c r="H127" s="2449"/>
      <c r="I127" s="864"/>
      <c r="J127" s="2449">
        <v>2555</v>
      </c>
      <c r="K127" s="2449"/>
      <c r="L127" s="2449"/>
      <c r="M127" s="2449"/>
      <c r="N127" s="864"/>
      <c r="O127" s="2449">
        <v>3181</v>
      </c>
      <c r="P127" s="2449"/>
      <c r="Q127" s="2449"/>
      <c r="R127" s="2449"/>
      <c r="S127" s="864"/>
      <c r="T127" s="2449">
        <v>4527</v>
      </c>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671.5</v>
      </c>
      <c r="F130" s="2442"/>
      <c r="G130" s="2442"/>
      <c r="H130" s="2442"/>
      <c r="I130" s="864"/>
      <c r="J130" s="2442">
        <f>Application!EC670</f>
        <v>1112</v>
      </c>
      <c r="K130" s="2442"/>
      <c r="L130" s="2442"/>
      <c r="M130" s="2442"/>
      <c r="N130" s="864"/>
      <c r="O130" s="2442">
        <f>Application!EH670</f>
        <v>1335</v>
      </c>
      <c r="P130" s="2442"/>
      <c r="Q130" s="2442"/>
      <c r="R130" s="2442"/>
      <c r="S130" s="868"/>
      <c r="T130" s="2442">
        <f>Application!EM670</f>
        <v>0</v>
      </c>
      <c r="U130" s="2442"/>
      <c r="V130" s="2442"/>
      <c r="W130" s="2442"/>
      <c r="X130" s="868"/>
      <c r="Y130" s="2442">
        <f>Application!ER670</f>
        <v>1720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f>(E127-E130)/E127</f>
        <v>0.74448249619482498</v>
      </c>
      <c r="F133" s="2391"/>
      <c r="G133" s="2391"/>
      <c r="H133" s="2641"/>
      <c r="I133" s="577"/>
      <c r="J133" s="2640">
        <f>(J127-J130)/J127</f>
        <v>0.56477495107632092</v>
      </c>
      <c r="K133" s="2391"/>
      <c r="L133" s="2391"/>
      <c r="M133" s="2641"/>
      <c r="N133" s="577"/>
      <c r="O133" s="2640">
        <f>(O127-O130)/O127</f>
        <v>0.58032065388242693</v>
      </c>
      <c r="P133" s="2391"/>
      <c r="Q133" s="2391"/>
      <c r="R133" s="2641"/>
      <c r="S133" s="577"/>
      <c r="T133" s="2640">
        <f>(T127-T130)/T127</f>
        <v>1</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f>IF(((E133-0.1)*AW116)&gt;0,((E133-0.1)*AW116),0)</f>
        <v>0.25779299847793002</v>
      </c>
      <c r="F136" s="2444"/>
      <c r="G136" s="2444"/>
      <c r="H136" s="2445"/>
      <c r="I136" s="577"/>
      <c r="J136" s="2443">
        <f>IF(((J133-0.1)*AW117)&gt;0,((J133-0.1)*AW117),0)</f>
        <v>0.23238747553816047</v>
      </c>
      <c r="K136" s="2444"/>
      <c r="L136" s="2444"/>
      <c r="M136" s="2445"/>
      <c r="N136" s="577"/>
      <c r="O136" s="2443">
        <f>IF(((O133-0.1)*AW118)&gt;0,((O133-0.1)*AW118),0)</f>
        <v>2.401603269412135E-2</v>
      </c>
      <c r="P136" s="2444"/>
      <c r="Q136" s="2444"/>
      <c r="R136" s="2445"/>
      <c r="S136" s="577"/>
      <c r="T136" s="2443">
        <f>IF(((T133-0.1)*AW119)&gt;0,((T133-0.1)*AW119),0)</f>
        <v>0</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0.51</v>
      </c>
      <c r="F138" s="2391"/>
      <c r="G138" s="2391"/>
      <c r="H138" s="2641"/>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4" t="s">
        <v>1315</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1339</v>
      </c>
      <c r="AG148" s="2439"/>
      <c r="AH148" s="2439"/>
      <c r="AI148" s="2439"/>
      <c r="AJ148" s="2439"/>
      <c r="AK148" s="2439"/>
      <c r="AL148" s="243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2684</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6" t="s">
        <v>1342</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1343</v>
      </c>
      <c r="AB155" s="2467" t="s">
        <v>592</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6" t="s">
        <v>1347</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2477</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2478</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2476</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592</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1353</v>
      </c>
      <c r="AG168" s="2439"/>
      <c r="AH168" s="2439"/>
      <c r="AI168" s="2439"/>
      <c r="AJ168" s="2439"/>
      <c r="AK168" s="2439"/>
      <c r="AL168" s="243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1351</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592</v>
      </c>
      <c r="AG172" s="2467"/>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6" t="s">
        <v>1357</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8" t="str">
        <f>Application!AA335</f>
        <v>Danco Property Management</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1315</v>
      </c>
      <c r="AF186" s="2404"/>
      <c r="AG186" s="2404"/>
      <c r="AH186" s="2404"/>
      <c r="AI186" s="2404"/>
      <c r="AJ186" s="2404"/>
      <c r="AK186" s="2404"/>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4" t="s">
        <v>1044</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1364</v>
      </c>
      <c r="AG188" s="2439"/>
      <c r="AH188" s="2439"/>
      <c r="AI188" s="2439"/>
      <c r="AJ188" s="2439"/>
      <c r="AK188" s="2439"/>
      <c r="AL188" s="2439"/>
      <c r="AN188" s="597"/>
      <c r="AP188" s="550" t="s">
        <v>1044</v>
      </c>
      <c r="AQ188" s="550">
        <v>10</v>
      </c>
    </row>
    <row r="189" spans="1:73" s="550" customFormat="1" ht="12.75" customHeight="1">
      <c r="A189" s="536"/>
      <c r="B189" s="2465" t="s">
        <v>1727</v>
      </c>
      <c r="C189" s="2465"/>
      <c r="D189" s="2465"/>
      <c r="E189" s="2465"/>
      <c r="F189" s="2465"/>
      <c r="G189" s="2465"/>
      <c r="H189" s="2465"/>
      <c r="I189" s="2465"/>
      <c r="J189" s="2465"/>
      <c r="K189" s="2465"/>
      <c r="L189" s="2465"/>
      <c r="M189" s="2465"/>
      <c r="N189" s="2465"/>
      <c r="O189" s="2465"/>
      <c r="P189" s="2465"/>
      <c r="Q189" s="2465"/>
      <c r="R189" s="2465"/>
      <c r="S189" s="2465"/>
      <c r="T189" s="2440" t="s">
        <v>592</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4">
        <f>IF(AK84&gt;0,VLOOKUP($B$188,AP185:AQ191,2,FALSE),0)</f>
        <v>10</v>
      </c>
      <c r="AL191" s="2475"/>
      <c r="AM191" s="247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1373</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2689</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f>+Application!AO628</f>
        <v>6425000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1628</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1591</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6">
        <f>SUM(AD199:AJ209)-AD210</f>
        <v>6425000</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1608</v>
      </c>
      <c r="J222" s="2455"/>
      <c r="K222" s="2455"/>
      <c r="L222" s="536"/>
      <c r="M222" s="536"/>
      <c r="N222" s="536"/>
      <c r="O222" s="536"/>
      <c r="P222" s="536"/>
      <c r="Q222" s="536"/>
      <c r="R222" s="536"/>
      <c r="S222" s="536"/>
      <c r="T222" s="2643" t="s">
        <v>1602</v>
      </c>
      <c r="U222" s="2643"/>
      <c r="V222" s="2643"/>
      <c r="W222" s="2643"/>
      <c r="X222" s="2643"/>
      <c r="Y222" s="2643"/>
      <c r="Z222" s="849"/>
      <c r="AA222" s="489"/>
      <c r="AB222" s="2450" t="s">
        <v>1603</v>
      </c>
      <c r="AC222" s="2450"/>
      <c r="AD222" s="2450"/>
      <c r="AE222" s="2450"/>
      <c r="AF222" s="2450"/>
      <c r="AG222" s="2450"/>
      <c r="AH222" s="827"/>
      <c r="AI222" s="827"/>
      <c r="AJ222" s="827"/>
      <c r="AK222" s="610"/>
    </row>
    <row r="223" spans="1:37">
      <c r="A223" s="605"/>
      <c r="B223" s="2453" t="s">
        <v>1588</v>
      </c>
      <c r="C223" s="2453"/>
      <c r="D223" s="2453"/>
      <c r="E223" s="2453"/>
      <c r="F223" s="2453"/>
      <c r="G223" s="2453"/>
      <c r="I223" s="2454" t="s">
        <v>1609</v>
      </c>
      <c r="J223" s="2454"/>
      <c r="K223" s="2454"/>
      <c r="L223" s="1008"/>
      <c r="N223" s="2460" t="s">
        <v>1604</v>
      </c>
      <c r="O223" s="2460"/>
      <c r="P223" s="2460"/>
      <c r="Q223" s="2460"/>
      <c r="R223" s="2460"/>
      <c r="T223" s="2460" t="s">
        <v>1605</v>
      </c>
      <c r="U223" s="2460"/>
      <c r="V223" s="2460"/>
      <c r="W223" s="2460"/>
      <c r="X223" s="2460"/>
      <c r="Y223" s="2460"/>
      <c r="Z223" s="850"/>
      <c r="AA223" s="489"/>
      <c r="AB223" s="2597" t="s">
        <v>1606</v>
      </c>
      <c r="AC223" s="2597"/>
      <c r="AD223" s="2597"/>
      <c r="AE223" s="2597"/>
      <c r="AF223" s="2597"/>
      <c r="AG223" s="2597"/>
      <c r="AH223" s="827"/>
      <c r="AI223" s="827"/>
      <c r="AJ223" s="827"/>
      <c r="AK223" s="610"/>
    </row>
    <row r="224" spans="1:37">
      <c r="A224" s="605"/>
      <c r="B224" s="2457" t="s">
        <v>1185</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1185</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1185</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1185</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1185</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1185</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1185</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1185</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1185</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1185</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6425000</v>
      </c>
      <c r="AH268" s="2477"/>
      <c r="AI268" s="2477"/>
      <c r="AJ268" s="2477"/>
      <c r="AK268" s="2477"/>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19214252</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0.66</v>
      </c>
      <c r="AH270" s="2478"/>
      <c r="AI270" s="2478"/>
      <c r="AJ270" s="2478"/>
      <c r="AK270" s="2478"/>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546</v>
      </c>
      <c r="D278" s="2471"/>
      <c r="E278" s="547"/>
      <c r="F278" s="2628" t="s">
        <v>2026</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1364</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67" t="s">
        <v>546</v>
      </c>
      <c r="D292" s="2471"/>
      <c r="E292" s="547"/>
      <c r="F292" s="2499" t="s">
        <v>1384</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2019</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3" t="s">
        <v>2027</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1385</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1386</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1" t="s">
        <v>592</v>
      </c>
      <c r="D302" s="2471"/>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1" t="s">
        <v>2021</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1" t="s">
        <v>592</v>
      </c>
      <c r="D310" s="2471"/>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3" t="s">
        <v>2028</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1185</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1185</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9" t="s">
        <v>1185</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9" t="s">
        <v>1185</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1" t="s">
        <v>592</v>
      </c>
      <c r="D333" s="2471"/>
      <c r="E333" s="547"/>
      <c r="F333" s="2395" t="s">
        <v>2029</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4">
        <f>IF(NOT(OR(Application!M355="Yes",Application!M356="Yes")),0,AP295)</f>
        <v>10</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4" t="s">
        <v>1315</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1455</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2094</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2209</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1456</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1457</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0</v>
      </c>
      <c r="AS359" s="539" t="s">
        <v>1458</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582</v>
      </c>
      <c r="AP361" s="696">
        <f>IF(C407="Yes",5,0)</f>
        <v>0</v>
      </c>
      <c r="AS361" s="539" t="s">
        <v>1880</v>
      </c>
    </row>
    <row r="362" spans="1:46" s="550" customFormat="1" ht="12.75" customHeight="1">
      <c r="A362" s="603"/>
      <c r="B362" s="611"/>
      <c r="C362" s="2535" t="s">
        <v>2233</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764</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585</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0</v>
      </c>
      <c r="AQ366" s="2536">
        <f>IF(AP366&gt;0,AP366,0)</f>
        <v>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513" t="s">
        <v>1459</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457</v>
      </c>
      <c r="AP369" s="696">
        <f>IF(C442="Yes",5,0)</f>
        <v>5</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462</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1">
        <f>Application!DU802-U374</f>
        <v>0</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24</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36">
        <f>IF(AP375&gt;0,AP375,0)</f>
        <v>10</v>
      </c>
      <c r="AR375" s="2536"/>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7" t="s">
        <v>1461</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592</v>
      </c>
      <c r="D381" s="2471"/>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1463</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7" t="s">
        <v>1464</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592</v>
      </c>
      <c r="D389" s="2471"/>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1463</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7" t="s">
        <v>1466</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592</v>
      </c>
      <c r="D397" s="2471"/>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1468</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592</v>
      </c>
      <c r="D399" s="2471"/>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1463</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7" t="s">
        <v>1472</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592</v>
      </c>
      <c r="D407" s="2471"/>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1463</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592</v>
      </c>
      <c r="D409" s="2471"/>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1475</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592</v>
      </c>
      <c r="D412" s="2471"/>
      <c r="E412" s="715" t="s">
        <v>1476</v>
      </c>
      <c r="F412" s="2517" t="s">
        <v>1477</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1463</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7" t="s">
        <v>1479</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592</v>
      </c>
      <c r="D421" s="2471"/>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1463</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592</v>
      </c>
      <c r="D423" s="2471"/>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1475</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7" t="s">
        <v>1483</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546</v>
      </c>
      <c r="D430" s="2471"/>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1463</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7" t="s">
        <v>1486</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546</v>
      </c>
      <c r="D442" s="2471"/>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1463</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7" t="s">
        <v>1489</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592</v>
      </c>
      <c r="D449" s="2471"/>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1463</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592</v>
      </c>
      <c r="D453" s="2521"/>
      <c r="E453" s="715" t="s">
        <v>1498</v>
      </c>
      <c r="F453" s="2517" t="s">
        <v>1499</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1463</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592</v>
      </c>
      <c r="D457" s="2471"/>
      <c r="E457" s="715" t="s">
        <v>1504</v>
      </c>
      <c r="F457" s="2517" t="s">
        <v>1505</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1463</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7" t="s">
        <v>1508</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592</v>
      </c>
      <c r="D466" s="2471"/>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1463</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5" t="s">
        <v>1512</v>
      </c>
      <c r="AF472" s="2515"/>
      <c r="AG472" s="2515"/>
      <c r="AH472" s="2515"/>
      <c r="AI472" s="2515"/>
      <c r="AJ472" s="2515"/>
      <c r="AK472" s="2515"/>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0" t="s">
        <v>592</v>
      </c>
      <c r="D478" s="2541"/>
      <c r="E478" s="761" t="s">
        <v>508</v>
      </c>
      <c r="F478" s="2542" t="s">
        <v>1518</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6" t="s">
        <v>592</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7" t="s">
        <v>546</v>
      </c>
      <c r="D482" s="261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5" t="s">
        <v>592</v>
      </c>
      <c r="W485" s="2615"/>
      <c r="X485" s="2615"/>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5" t="s">
        <v>592</v>
      </c>
      <c r="W487" s="2615"/>
      <c r="X487" s="2615"/>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5" t="s">
        <v>592</v>
      </c>
      <c r="W492" s="2615"/>
      <c r="X492" s="2615"/>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5"/>
      <c r="E495" s="260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5" t="s">
        <v>592</v>
      </c>
      <c r="W496" s="2615"/>
      <c r="X496" s="2615"/>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5" t="s">
        <v>592</v>
      </c>
      <c r="W498" s="2615"/>
      <c r="X498" s="2615"/>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592</v>
      </c>
      <c r="D501" s="2541"/>
      <c r="E501" s="761" t="s">
        <v>508</v>
      </c>
      <c r="F501" s="2542" t="s">
        <v>1518</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592</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592</v>
      </c>
      <c r="D505" s="2541"/>
      <c r="E505" s="761" t="s">
        <v>758</v>
      </c>
      <c r="F505" s="2612" t="s">
        <v>1540</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592</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592</v>
      </c>
      <c r="D510" s="254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592</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592</v>
      </c>
      <c r="D515" s="2545"/>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592</v>
      </c>
      <c r="D519" s="2545"/>
      <c r="F519" s="795" t="s">
        <v>1548</v>
      </c>
      <c r="G519" s="2518" t="s">
        <v>1549</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592</v>
      </c>
      <c r="D523" s="2547"/>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592</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1561</v>
      </c>
      <c r="AF538" s="2404"/>
      <c r="AG538" s="2404"/>
      <c r="AH538" s="2404"/>
      <c r="AI538" s="2404"/>
      <c r="AJ538" s="2404"/>
      <c r="AK538" s="2404"/>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546</v>
      </c>
      <c r="D541" s="2471"/>
      <c r="E541" s="551"/>
      <c r="F541" s="2598" t="s">
        <v>1562</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592</v>
      </c>
      <c r="D544" s="2471"/>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1564</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1565</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9665976</v>
      </c>
      <c r="AQ550" s="2620"/>
      <c r="AR550" s="2620"/>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15116195</v>
      </c>
      <c r="AG551" s="2477"/>
      <c r="AH551" s="2477"/>
      <c r="AI551" s="2477"/>
      <c r="AJ551" s="2477"/>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20491869.800000001</v>
      </c>
      <c r="AG552" s="2625"/>
      <c r="AH552" s="2625"/>
      <c r="AI552" s="2625"/>
      <c r="AJ552" s="2625"/>
      <c r="AK552" s="595"/>
      <c r="AL552" s="595"/>
      <c r="AM552" s="595"/>
      <c r="AN552" s="597"/>
      <c r="AP552" s="2620">
        <f>Application!AJ1045</f>
        <v>0</v>
      </c>
      <c r="AQ552" s="2620"/>
      <c r="AR552" s="2620"/>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0.26</v>
      </c>
      <c r="AG553" s="2626"/>
      <c r="AH553" s="2626"/>
      <c r="AI553" s="2626"/>
      <c r="AJ553" s="2626"/>
      <c r="AK553" s="595"/>
      <c r="AL553" s="595"/>
      <c r="AM553" s="595"/>
      <c r="AN553" s="597"/>
      <c r="AP553" s="2623">
        <f>Application!AJ1049</f>
        <v>19331952</v>
      </c>
      <c r="AQ553" s="2623"/>
      <c r="AR553" s="2623"/>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0.8</v>
      </c>
      <c r="AQ554" s="2619"/>
      <c r="AR554" s="2619"/>
      <c r="AS554" s="550" t="s">
        <v>2173</v>
      </c>
    </row>
    <row r="555" spans="1:49" s="550" customFormat="1" ht="12.75" customHeight="1">
      <c r="A555" s="624"/>
      <c r="B555" s="2556" t="s">
        <v>2033</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12759089</v>
      </c>
      <c r="AQ556" s="2529"/>
      <c r="AR556" s="2529"/>
      <c r="AS556" s="550" t="s">
        <v>2175</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32091041</v>
      </c>
      <c r="AQ557" s="2620"/>
      <c r="AR557" s="2620"/>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5">
        <f>IFERROR(IF(AND(C541="N/A",C544="N/A"),0,IF(AF553=0,0,IF((AF553*100)&gt;12,12,(AF553*100)))),0)</f>
        <v>12</v>
      </c>
      <c r="AL559" s="2565"/>
      <c r="AM559" s="2566"/>
      <c r="AN559" s="597"/>
      <c r="AP559" s="2637">
        <f>AP556+(AP550*AP554)</f>
        <v>20491869.800000001</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1315</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2024</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1339</v>
      </c>
      <c r="AG578" s="2439"/>
      <c r="AH578" s="2439"/>
      <c r="AI578" s="2439"/>
      <c r="AJ578" s="2439"/>
      <c r="AK578" s="2439"/>
      <c r="AL578" s="243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1397</v>
      </c>
      <c r="AG585" s="2439"/>
      <c r="AH585" s="2439"/>
      <c r="AI585" s="2439"/>
      <c r="AJ585" s="2439"/>
      <c r="AK585" s="2439"/>
      <c r="AL585" s="243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1379</v>
      </c>
      <c r="AG591" s="2439"/>
      <c r="AH591" s="2439"/>
      <c r="AI591" s="2439"/>
      <c r="AJ591" s="2439"/>
      <c r="AK591" s="2439"/>
      <c r="AL591" s="243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1400</v>
      </c>
      <c r="AG597" s="2439"/>
      <c r="AH597" s="2439"/>
      <c r="AI597" s="2439"/>
      <c r="AJ597" s="2439"/>
      <c r="AK597" s="2439"/>
      <c r="AL597" s="243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5" t="s">
        <v>1185</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1353</v>
      </c>
      <c r="AG603" s="2439"/>
      <c r="AH603" s="2439"/>
      <c r="AI603" s="2439"/>
      <c r="AJ603" s="2439"/>
      <c r="AK603" s="2439"/>
      <c r="AL603" s="243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3" t="s">
        <v>1398</v>
      </c>
      <c r="I606" s="2523"/>
      <c r="J606" s="936"/>
      <c r="K606" s="936"/>
      <c r="L606" s="936"/>
      <c r="N606" s="22"/>
      <c r="O606" s="22"/>
      <c r="P606" s="22"/>
      <c r="Q606" s="1151" t="s">
        <v>2178</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4" t="s">
        <v>592</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7" t="s">
        <v>592</v>
      </c>
      <c r="C616" s="2467"/>
      <c r="D616" s="642"/>
      <c r="E616" s="2494" t="s">
        <v>1404</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4">
        <f>VLOOKUP($H$606,$AO$586:$AP$591,2,FALSE)+IF(R606=AO594,0,VLOOKUP($I$614,$AO$613:$AP$615,2,FALSE))</f>
        <v>4</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2" t="s">
        <v>1695</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1353</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7" t="s">
        <v>592</v>
      </c>
      <c r="Y634" s="2467"/>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1409</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3" t="s">
        <v>688</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4">
        <f>VLOOKUP($H$638,$AO$605:$AP$607,2,FALSE)</f>
        <v>3</v>
      </c>
      <c r="AK640" s="247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4" t="s">
        <v>2099</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1353</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1409</v>
      </c>
      <c r="AG647" s="2439"/>
      <c r="AH647" s="2439"/>
      <c r="AI647" s="2439"/>
      <c r="AJ647" s="2439"/>
      <c r="AK647" s="2439"/>
      <c r="AL647" s="243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3" t="s">
        <v>688</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4">
        <f>VLOOKUP(H650,AT605:AU607,2,FALSE)</f>
        <v>3</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4" t="s">
        <v>1419</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1379</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4" t="s">
        <v>1420</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1400</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1421</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1353</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592</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4" t="s">
        <v>1422</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1400</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4" t="s">
        <v>1423</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1353</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4" t="s">
        <v>1424</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1409</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4" t="s">
        <v>1425</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1426</v>
      </c>
      <c r="AG681" s="2439"/>
      <c r="AH681" s="2439"/>
      <c r="AI681" s="2439"/>
      <c r="AJ681" s="2439"/>
      <c r="AK681" s="2439"/>
      <c r="AL681" s="2439"/>
      <c r="AM681" s="596"/>
      <c r="AN681" s="597"/>
      <c r="AO681" s="611" t="s">
        <v>688</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3" t="s">
        <v>688</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4">
        <f>VLOOKUP($H$685,$AO$633:$AP$640,2,FALSE)</f>
        <v>5</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20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20</v>
      </c>
    </row>
    <row r="691" spans="1:51" s="550" customFormat="1" ht="12.75" customHeight="1">
      <c r="A691" s="679"/>
      <c r="B691" s="536"/>
      <c r="C691" s="948"/>
      <c r="D691" s="663" t="s">
        <v>688</v>
      </c>
      <c r="E691" s="2530" t="s">
        <v>2191</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1353</v>
      </c>
      <c r="AG691" s="2439"/>
      <c r="AH691" s="2439"/>
      <c r="AI691" s="2439"/>
      <c r="AJ691" s="2439"/>
      <c r="AK691" s="2439"/>
      <c r="AL691" s="2439"/>
      <c r="AN691" s="597"/>
      <c r="AW691" s="22" t="s">
        <v>2186</v>
      </c>
      <c r="AX691" s="550">
        <f>Application!DE753</f>
        <v>0</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2187</v>
      </c>
      <c r="AX692" s="550">
        <f>Application!DJ753</f>
        <v>1</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4" t="s">
        <v>2135</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1353</v>
      </c>
      <c r="AG694" s="2439"/>
      <c r="AH694" s="2439"/>
      <c r="AI694" s="2439"/>
      <c r="AJ694" s="2439"/>
      <c r="AK694" s="2439"/>
      <c r="AL694" s="2439"/>
      <c r="AN694" s="597"/>
      <c r="AW694" s="22" t="s">
        <v>2189</v>
      </c>
      <c r="AX694" s="550">
        <f>AX691+AX692+AX693</f>
        <v>1</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0</v>
      </c>
      <c r="AP695" s="2529"/>
      <c r="AW695" s="22" t="s">
        <v>2190</v>
      </c>
      <c r="AX695" s="550">
        <f>IFERROR(AX694/AX690,0)</f>
        <v>0.05</v>
      </c>
      <c r="AY695" s="550">
        <f>IFERROR(AX694/(AX690-AX689),0)</f>
        <v>0</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4" t="s">
        <v>2136</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1409</v>
      </c>
      <c r="AG699" s="2439"/>
      <c r="AH699" s="2439"/>
      <c r="AI699" s="2439"/>
      <c r="AJ699" s="2439"/>
      <c r="AK699" s="2439"/>
      <c r="AL699" s="2439"/>
      <c r="AN699" s="597"/>
      <c r="AO699" s="611" t="s">
        <v>510</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4" t="s">
        <v>1694</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3" t="s">
        <v>592</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4">
        <f>VLOOKUP($H$709,$AO$703:$AP$706,2,FALSE)</f>
        <v>0</v>
      </c>
      <c r="AK711" s="247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1353</v>
      </c>
      <c r="AG715" s="2439"/>
      <c r="AH715" s="2439"/>
      <c r="AI715" s="2439"/>
      <c r="AJ715" s="2439"/>
      <c r="AK715" s="2439"/>
      <c r="AL715" s="2439"/>
      <c r="AM715" s="550"/>
      <c r="AN715" s="684"/>
      <c r="AP715" s="570" t="s">
        <v>1433</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1409</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3" t="s">
        <v>592</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4" t="s">
        <v>1697</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1353</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4" t="s">
        <v>1440</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1409</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3" t="s">
        <v>592</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4" t="s">
        <v>1443</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1353</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4" t="s">
        <v>1444</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1409</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3" t="s">
        <v>592</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4">
        <f>VLOOKUP($H$751,$AO$680:$AP$682,2,FALSE)</f>
        <v>0</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4" t="s">
        <v>1446</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1409</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4" t="s">
        <v>1447</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1426</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3" t="s">
        <v>592</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4">
        <f>VLOOKUP($H$763,$AO$697:$AP$699,2,FALSE)</f>
        <v>0</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4" t="s">
        <v>1693</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1409</v>
      </c>
      <c r="AG769" s="2439"/>
      <c r="AH769" s="2439"/>
      <c r="AI769" s="2439"/>
      <c r="AJ769" s="2439"/>
      <c r="AK769" s="2439"/>
      <c r="AL769" s="2439"/>
      <c r="AM769" s="613"/>
      <c r="AN769" s="684"/>
      <c r="AO769" s="550" t="s">
        <v>592</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1353</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3" t="s">
        <v>592</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4" t="s">
        <v>2034</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1353</v>
      </c>
      <c r="AG785" s="2439"/>
      <c r="AH785" s="2439"/>
      <c r="AI785" s="2439"/>
      <c r="AJ785" s="2439"/>
      <c r="AK785" s="2439"/>
      <c r="AL785" s="243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3" t="s">
        <v>592</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1569</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1570</v>
      </c>
      <c r="U802" s="2571"/>
      <c r="V802" s="2571"/>
      <c r="W802" s="2571"/>
      <c r="X802" s="2571"/>
      <c r="Y802" s="2572"/>
      <c r="Z802" s="2570" t="s">
        <v>1571</v>
      </c>
      <c r="AA802" s="2571"/>
      <c r="AB802" s="2571"/>
      <c r="AC802" s="2571"/>
      <c r="AD802" s="2571"/>
      <c r="AE802" s="2572"/>
      <c r="AF802" s="2570" t="s">
        <v>1572</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758</v>
      </c>
      <c r="B804" s="2550" t="s">
        <v>1305</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1542</v>
      </c>
      <c r="B805" s="2550" t="s">
        <v>1314</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1551</v>
      </c>
      <c r="B806" s="2550" t="s">
        <v>1324</v>
      </c>
      <c r="C806" s="2550"/>
      <c r="D806" s="2550"/>
      <c r="E806" s="2550"/>
      <c r="F806" s="2550"/>
      <c r="G806" s="2550"/>
      <c r="H806" s="2550"/>
      <c r="I806" s="2550"/>
      <c r="J806" s="2550"/>
      <c r="K806" s="2550"/>
      <c r="L806" s="2550"/>
      <c r="M806" s="2550"/>
      <c r="N806" s="2550"/>
      <c r="O806" s="2550"/>
      <c r="P806" s="2550"/>
      <c r="Q806" s="2550"/>
      <c r="R806" s="2550"/>
      <c r="S806" s="2551"/>
      <c r="T806" s="2552">
        <f>AK109</f>
        <v>20</v>
      </c>
      <c r="U806" s="2553"/>
      <c r="V806" s="2553"/>
      <c r="W806" s="2553"/>
      <c r="X806" s="2553"/>
      <c r="Y806" s="2554"/>
      <c r="Z806" s="2555">
        <v>20</v>
      </c>
      <c r="AA806" s="2553"/>
      <c r="AB806" s="2553"/>
      <c r="AC806" s="2553"/>
      <c r="AD806" s="2553"/>
      <c r="AE806" s="2554"/>
      <c r="AF806" s="2536">
        <f>IF(T806&gt;Z806,Z806,T806)</f>
        <v>20</v>
      </c>
      <c r="AG806" s="2536"/>
      <c r="AH806" s="2536"/>
      <c r="AI806" s="2536"/>
      <c r="AJ806" s="2536"/>
      <c r="AK806" s="2536"/>
      <c r="AL806" s="818"/>
      <c r="AM806" s="596"/>
      <c r="AO806" s="816"/>
      <c r="AP806" s="816"/>
      <c r="AQ806" s="816"/>
    </row>
    <row r="807" spans="1:81">
      <c r="A807" s="819" t="s">
        <v>1573</v>
      </c>
      <c r="B807" s="2550" t="s">
        <v>1334</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1574</v>
      </c>
      <c r="B808" s="2550" t="s">
        <v>1575</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1576</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1577</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1362</v>
      </c>
      <c r="B811" s="2550" t="s">
        <v>1578</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1371</v>
      </c>
      <c r="B812" s="2550" t="s">
        <v>1372</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590</v>
      </c>
      <c r="B813" s="2550" t="s">
        <v>1579</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0" t="s">
        <v>1580</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0" t="s">
        <v>1382</v>
      </c>
      <c r="C815" s="2550"/>
      <c r="D815" s="2550"/>
      <c r="E815" s="2550"/>
      <c r="F815" s="2550"/>
      <c r="G815" s="2550"/>
      <c r="H815" s="2550"/>
      <c r="I815" s="2550"/>
      <c r="J815" s="2550"/>
      <c r="K815" s="2550"/>
      <c r="L815" s="2550"/>
      <c r="M815" s="2550"/>
      <c r="N815" s="2550"/>
      <c r="O815" s="2550"/>
      <c r="P815" s="2550"/>
      <c r="Q815" s="2550"/>
      <c r="R815" s="2550"/>
      <c r="S815" s="2551"/>
      <c r="T815" s="2576">
        <f>AK338</f>
        <v>10</v>
      </c>
      <c r="U815" s="2576"/>
      <c r="V815" s="2576"/>
      <c r="W815" s="2576"/>
      <c r="X815" s="2576"/>
      <c r="Y815" s="2576"/>
      <c r="Z815" s="2582">
        <v>10</v>
      </c>
      <c r="AA815" s="2583"/>
      <c r="AB815" s="2583"/>
      <c r="AC815" s="2583"/>
      <c r="AD815" s="2583"/>
      <c r="AE815" s="2584"/>
      <c r="AF815" s="2582">
        <f>IF(T815&gt;Z815,Z815,T815)</f>
        <v>10</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9">
        <f>AK338</f>
        <v>10</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0" t="s">
        <v>846</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0" t="s">
        <v>1560</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0" t="s">
        <v>1582</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1583</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1584</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1585</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SUM(AF804:AK819)-AF820</f>
        <v>120</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391" max="38" man="1"/>
    <brk id="560" max="38" man="1"/>
    <brk id="680" max="38" man="1"/>
    <brk id="738"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2025-05-13T21:56:22Z</cp:lastPrinted>
  <dcterms:created xsi:type="dcterms:W3CDTF">2007-12-27T18:26:28Z</dcterms:created>
  <dcterms:modified xsi:type="dcterms:W3CDTF">2025-06-05T17:20:19Z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2025-04-24T17:56:21Z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97c05c1e-cc59-48ac-9184-3ed6095eb480</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