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Danny Kolosta\Antioch Hillcrest\Antioch Hillcrest 2025 CDLAC Round 2 Joint App\"/>
    </mc:Choice>
  </mc:AlternateContent>
  <xr:revisionPtr revIDLastSave="0" documentId="13_ncr:1_{9C645FA7-8CB4-48F5-89A3-DA6FFB2BA425}" xr6:coauthVersionLast="47" xr6:coauthVersionMax="47" xr10:uidLastSave="{00000000-0000-0000-0000-000000000000}"/>
  <bookViews>
    <workbookView xWindow="-120" yWindow="-120" windowWidth="29040" windowHeight="17520" tabRatio="815"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8" i="3" l="1"/>
  <c r="Q627" i="3"/>
  <c r="AM558" i="3"/>
  <c r="AO640" i="3"/>
  <c r="J99" i="4"/>
  <c r="AE402" i="3" l="1"/>
  <c r="Z589" i="3"/>
  <c r="Z588" i="3"/>
  <c r="Z587" i="3"/>
  <c r="Z586" i="3"/>
  <c r="W866" i="3" l="1"/>
  <c r="W846" i="3"/>
  <c r="W863" i="3"/>
  <c r="W854" i="3"/>
  <c r="W853" i="3"/>
  <c r="W859" i="3"/>
  <c r="AM562" i="3"/>
  <c r="AD199" i="20"/>
  <c r="C75" i="4" l="1"/>
  <c r="AM561" i="3"/>
  <c r="S45" i="4"/>
  <c r="C45" i="4"/>
  <c r="AM556" i="3"/>
  <c r="B150" i="20" l="1"/>
  <c r="C93" i="4" l="1"/>
  <c r="C40" i="4"/>
  <c r="C61" i="4"/>
  <c r="AG446" i="3" l="1"/>
  <c r="E53" i="7"/>
  <c r="B199" i="20"/>
  <c r="F30" i="4"/>
  <c r="I30" i="4"/>
  <c r="H30" i="4"/>
  <c r="C86" i="4"/>
  <c r="C37" i="4"/>
  <c r="G30" i="4" l="1"/>
  <c r="AC889" i="3"/>
  <c r="AC888" i="3"/>
  <c r="AA919" i="3"/>
  <c r="Q628" i="3"/>
  <c r="Q557" i="3"/>
  <c r="T627" i="3" l="1"/>
  <c r="O726" i="3"/>
  <c r="O725" i="3"/>
  <c r="O724" i="3"/>
  <c r="O723" i="3"/>
  <c r="O722" i="3"/>
  <c r="O721" i="3"/>
  <c r="O720" i="3"/>
  <c r="O719" i="3"/>
  <c r="O718" i="3"/>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O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50" i="21" l="1"/>
  <c r="U45" i="21"/>
  <c r="T48" i="21"/>
  <c r="U48" i="21"/>
  <c r="S48" i="21"/>
  <c r="R48" i="21" a="1"/>
  <c r="R48" i="21" s="1"/>
  <c r="P48" i="21" a="1"/>
  <c r="P48" i="21" s="1"/>
  <c r="P52" i="21" a="1"/>
  <c r="P52" i="21" s="1"/>
  <c r="T51" i="21"/>
  <c r="S51" i="21"/>
  <c r="R51" i="21" a="1"/>
  <c r="R51" i="21" s="1"/>
  <c r="P51" i="21" a="1"/>
  <c r="P51" i="21" s="1"/>
  <c r="O51" i="21"/>
  <c r="U46" i="21"/>
  <c r="T46" i="21"/>
  <c r="S45" i="21"/>
  <c r="S52" i="21"/>
  <c r="U50" i="21"/>
  <c r="U53" i="21"/>
  <c r="P50" i="21" a="1"/>
  <c r="P50" i="21" s="1"/>
  <c r="U47" i="21"/>
  <c r="T53" i="21"/>
  <c r="O50" i="21"/>
  <c r="T47" i="21"/>
  <c r="R53" i="21" a="1"/>
  <c r="R53" i="21" s="1"/>
  <c r="S47" i="21"/>
  <c r="R47" i="21" a="1"/>
  <c r="R47" i="21" s="1"/>
  <c r="U49" i="21"/>
  <c r="T49" i="21"/>
  <c r="S49" i="21"/>
  <c r="R49" i="21" a="1"/>
  <c r="R49" i="21" s="1"/>
  <c r="P49" i="21" a="1"/>
  <c r="P49" i="21" s="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E67" i="4" s="1"/>
  <c r="R67" i="4" s="1"/>
  <c r="S67" i="4" s="1"/>
  <c r="E67" i="13" s="1"/>
  <c r="B68" i="4"/>
  <c r="B69" i="4"/>
  <c r="E69" i="4" s="1"/>
  <c r="R69" i="4" s="1"/>
  <c r="S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0" i="13"/>
  <c r="E87" i="13"/>
  <c r="E84" i="13"/>
  <c r="E65" i="13"/>
  <c r="E53" i="13"/>
  <c r="E51" i="13"/>
  <c r="E49" i="13"/>
  <c r="E48" i="13"/>
  <c r="E47" i="13"/>
  <c r="E43" i="13"/>
  <c r="E41"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0" i="4"/>
  <c r="R87" i="4"/>
  <c r="R76" i="4"/>
  <c r="R72" i="4"/>
  <c r="R73" i="4"/>
  <c r="R74" i="4"/>
  <c r="R65" i="4"/>
  <c r="R60" i="4"/>
  <c r="R59" i="4"/>
  <c r="R58" i="4"/>
  <c r="R57" i="4"/>
  <c r="R51" i="4"/>
  <c r="R48" i="4"/>
  <c r="R47" i="4"/>
  <c r="R43" i="4"/>
  <c r="R41" i="4"/>
  <c r="R35" i="4"/>
  <c r="R34" i="4"/>
  <c r="R33" i="4"/>
  <c r="R32" i="4"/>
  <c r="R31" i="4"/>
  <c r="R29" i="4"/>
  <c r="R27" i="4"/>
  <c r="R25" i="4"/>
  <c r="R23" i="4"/>
  <c r="R22" i="4"/>
  <c r="R21" i="4"/>
  <c r="R20" i="4"/>
  <c r="R19" i="4"/>
  <c r="R18" i="4"/>
  <c r="R17" i="4"/>
  <c r="R15" i="4"/>
  <c r="R14" i="4"/>
  <c r="R13" i="4"/>
  <c r="R9" i="4"/>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E6" i="4" s="1"/>
  <c r="E8"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B31" i="4"/>
  <c r="B32" i="4"/>
  <c r="B33" i="4"/>
  <c r="B34" i="4"/>
  <c r="B35" i="4"/>
  <c r="B37" i="4"/>
  <c r="E37" i="4" s="1"/>
  <c r="R37" i="4" s="1"/>
  <c r="S37" i="4" s="1"/>
  <c r="E37" i="13" s="1"/>
  <c r="G38" i="4"/>
  <c r="H38" i="4"/>
  <c r="K38" i="4"/>
  <c r="L38" i="4"/>
  <c r="O38" i="4"/>
  <c r="P38" i="4"/>
  <c r="P42" i="4"/>
  <c r="P54" i="4"/>
  <c r="P62" i="4"/>
  <c r="P70" i="4"/>
  <c r="P77" i="4"/>
  <c r="P96" i="4"/>
  <c r="P104" i="4"/>
  <c r="Q38" i="4"/>
  <c r="B40" i="4"/>
  <c r="E40" i="4" s="1"/>
  <c r="R40" i="4" s="1"/>
  <c r="S40" i="4" s="1"/>
  <c r="B41" i="4"/>
  <c r="G42" i="4"/>
  <c r="H42" i="4"/>
  <c r="K42" i="4"/>
  <c r="L42" i="4"/>
  <c r="O42" i="4"/>
  <c r="Q42" i="4"/>
  <c r="B43" i="4"/>
  <c r="B45" i="4"/>
  <c r="B46" i="4"/>
  <c r="E46" i="4" s="1"/>
  <c r="R46" i="4" s="1"/>
  <c r="S46" i="4" s="1"/>
  <c r="E46" i="13" s="1"/>
  <c r="B47" i="4"/>
  <c r="B48" i="4"/>
  <c r="B49" i="4"/>
  <c r="E49" i="4" s="1"/>
  <c r="R49" i="4" s="1"/>
  <c r="B50" i="4"/>
  <c r="E50" i="4" s="1"/>
  <c r="R50" i="4" s="1"/>
  <c r="S50" i="4" s="1"/>
  <c r="E50" i="13" s="1"/>
  <c r="B51" i="4"/>
  <c r="B52" i="4"/>
  <c r="E52" i="4" s="1"/>
  <c r="R52" i="4" s="1"/>
  <c r="S52" i="4" s="1"/>
  <c r="E52" i="13" s="1"/>
  <c r="B53" i="4"/>
  <c r="E53" i="4" s="1"/>
  <c r="R53" i="4" s="1"/>
  <c r="G54" i="4"/>
  <c r="H54" i="4"/>
  <c r="K54" i="4"/>
  <c r="L54" i="4"/>
  <c r="O54" i="4"/>
  <c r="Q54" i="4"/>
  <c r="B56" i="4"/>
  <c r="E56" i="4" s="1"/>
  <c r="B57" i="4"/>
  <c r="B58" i="4"/>
  <c r="B60" i="4"/>
  <c r="B61" i="4"/>
  <c r="E61" i="4" s="1"/>
  <c r="R61" i="4" s="1"/>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E79" i="4" s="1"/>
  <c r="R79" i="4" s="1"/>
  <c r="S79" i="4" s="1"/>
  <c r="E79" i="13" s="1"/>
  <c r="B83" i="4"/>
  <c r="E83" i="4" s="1"/>
  <c r="R83" i="4" s="1"/>
  <c r="B84" i="4"/>
  <c r="B85" i="4"/>
  <c r="E85" i="4" s="1"/>
  <c r="R85" i="4" s="1"/>
  <c r="S85" i="4" s="1"/>
  <c r="B86" i="4"/>
  <c r="E86" i="4" s="1"/>
  <c r="R86" i="4" s="1"/>
  <c r="S86" i="4" s="1"/>
  <c r="E86" i="13" s="1"/>
  <c r="B87" i="4"/>
  <c r="B88" i="4"/>
  <c r="E88" i="4" s="1"/>
  <c r="R88" i="4" s="1"/>
  <c r="B89" i="4"/>
  <c r="E89" i="4" s="1"/>
  <c r="R89" i="4" s="1"/>
  <c r="S89" i="4" s="1"/>
  <c r="E89" i="13" s="1"/>
  <c r="B90" i="4"/>
  <c r="B91" i="4"/>
  <c r="E91" i="4" s="1"/>
  <c r="R91" i="4" s="1"/>
  <c r="E91" i="13" s="1"/>
  <c r="B92" i="4"/>
  <c r="E92" i="4" s="1"/>
  <c r="R92" i="4" s="1"/>
  <c r="S92" i="4" s="1"/>
  <c r="E92" i="13" s="1"/>
  <c r="B93" i="4"/>
  <c r="E93" i="4" s="1"/>
  <c r="R93" i="4" s="1"/>
  <c r="B94" i="4"/>
  <c r="E94" i="4" s="1"/>
  <c r="R94" i="4" s="1"/>
  <c r="E94" i="13" s="1"/>
  <c r="B95" i="4"/>
  <c r="E95" i="4" s="1"/>
  <c r="R95" i="4" s="1"/>
  <c r="S95" i="4" s="1"/>
  <c r="E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AA598" i="3" s="1"/>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42" i="4" l="1"/>
  <c r="E70" i="4"/>
  <c r="E62" i="4"/>
  <c r="E38" i="4"/>
  <c r="E81" i="4"/>
  <c r="S70" i="4"/>
  <c r="E70" i="13" s="1"/>
  <c r="E69" i="13"/>
  <c r="S42" i="4"/>
  <c r="E42" i="13" s="1"/>
  <c r="E40" i="13"/>
  <c r="E85" i="13"/>
  <c r="S96" i="4"/>
  <c r="E96" i="13" s="1"/>
  <c r="R56" i="4"/>
  <c r="R62" i="4" s="1"/>
  <c r="R6" i="4"/>
  <c r="R8" i="4" s="1"/>
  <c r="E96" i="4"/>
  <c r="R30" i="4"/>
  <c r="S30" i="4" s="1"/>
  <c r="E30" i="13" s="1"/>
  <c r="AC886" i="3"/>
  <c r="E75" i="4"/>
  <c r="S104" i="4"/>
  <c r="E104" i="13" s="1"/>
  <c r="S81" i="4"/>
  <c r="E81" i="13" s="1"/>
  <c r="E45" i="4"/>
  <c r="E54" i="4" s="1"/>
  <c r="E63" i="4" s="1"/>
  <c r="S54" i="4"/>
  <c r="E54" i="13" s="1"/>
  <c r="E45" i="13"/>
  <c r="B26" i="4"/>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38" i="4" l="1"/>
  <c r="E38" i="13" s="1"/>
  <c r="R38" i="4"/>
  <c r="BA1058" i="3"/>
  <c r="S63" i="4"/>
  <c r="E77" i="4"/>
  <c r="E97" i="4" s="1"/>
  <c r="E105" i="4" s="1"/>
  <c r="R75" i="4"/>
  <c r="R77" i="4" s="1"/>
  <c r="R45" i="4"/>
  <c r="R54" i="4" s="1"/>
  <c r="R63" i="4"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97" i="4" l="1"/>
  <c r="R105" i="4" s="1"/>
  <c r="O27" i="21"/>
  <c r="P27" i="21" s="1" a="1"/>
  <c r="P27" i="21" s="1"/>
  <c r="S27" i="21" s="1"/>
  <c r="O24" i="21"/>
  <c r="P24" i="21" s="1" a="1"/>
  <c r="P24" i="21" s="1"/>
  <c r="S24" i="21" s="1"/>
  <c r="O26" i="21"/>
  <c r="P26" i="21" s="1" a="1"/>
  <c r="P26" i="21" s="1"/>
  <c r="S26" i="21" s="1"/>
  <c r="O28" i="21"/>
  <c r="P28" i="21" s="1" a="1"/>
  <c r="P28" i="21" s="1"/>
  <c r="S28" i="21" s="1"/>
  <c r="O25" i="21"/>
  <c r="P25" i="21" s="1" a="1"/>
  <c r="P25" i="21" s="1"/>
  <c r="S25" i="21" s="1"/>
  <c r="O22" i="21"/>
  <c r="P22" i="21" s="1" a="1"/>
  <c r="P22" i="21" s="1"/>
  <c r="S22" i="21" s="1"/>
  <c r="O23" i="21"/>
  <c r="P23" i="21" s="1" a="1"/>
  <c r="P23" i="21" s="1"/>
  <c r="S23" i="21" s="1"/>
  <c r="O20" i="21"/>
  <c r="P20" i="21" s="1" a="1"/>
  <c r="P20" i="21" s="1"/>
  <c r="S20" i="21" s="1"/>
  <c r="D64" i="1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K191" i="20"/>
  <c r="T811" i="20" s="1"/>
  <c r="AF811" i="20" s="1"/>
  <c r="BE76" i="3" s="1"/>
  <c r="N185" i="23"/>
  <c r="BE22" i="3"/>
  <c r="AB49" i="15"/>
  <c r="AB54" i="15" s="1"/>
  <c r="AB55" i="15" s="1"/>
  <c r="S107" i="4"/>
  <c r="AE699" i="3" s="1"/>
  <c r="E105" i="13"/>
  <c r="BA1056" i="3"/>
  <c r="AZ1051" i="3"/>
  <c r="H105" i="13"/>
  <c r="T107" i="4"/>
  <c r="H107" i="13"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E62" i="7"/>
  <c r="E66" i="7"/>
  <c r="E67"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G62" i="7" s="1"/>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<sst xmlns="http://schemas.openxmlformats.org/spreadsheetml/2006/main" count="5038" uniqueCount="2751">
  <si>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</si>
  <si>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</si>
  <si>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</si>
  <si>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</si>
  <si>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</si>
  <si>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</si>
  <si>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</si>
  <si>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</si>
  <si>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</si>
  <si>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</si>
  <si>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</si>
  <si>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</si>
  <si>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</si>
  <si>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</si>
  <si>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</si>
  <si>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</si>
  <si>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</si>
  <si>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</si>
  <si>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</si>
  <si>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</si>
  <si>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</si>
  <si>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</si>
  <si>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</si>
  <si>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</si>
  <si>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</si>
  <si>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</si>
  <si>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</si>
  <si>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</si>
  <si>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</si>
  <si>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</si>
  <si>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</si>
  <si>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</si>
  <si>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</si>
  <si>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</si>
  <si>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</si>
  <si>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</si>
  <si>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</si>
  <si>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</si>
  <si>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</si>
  <si>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</si>
  <si>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</si>
  <si>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</si>
  <si>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</si>
  <si>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</si>
  <si>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</si>
  <si>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</si>
  <si>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</si>
  <si>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</si>
  <si>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</si>
  <si>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</si>
  <si>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</si>
  <si>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</si>
  <si>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</si>
  <si>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</si>
  <si>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</si>
  <si>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</si>
  <si>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</si>
  <si>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</si>
  <si>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</si>
  <si>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</si>
  <si>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</si>
  <si>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</si>
  <si>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</si>
  <si>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</si>
  <si>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</si>
  <si>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</si>
  <si>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</si>
  <si>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</si>
  <si>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</si>
  <si>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</si>
  <si>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</si>
  <si>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</si>
  <si>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</si>
  <si>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</si>
  <si>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</si>
  <si>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</si>
  <si>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</si>
  <si>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</si>
  <si>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</si>
  <si>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</si>
  <si>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</si>
  <si>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</si>
  <si>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</si>
  <si>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</si>
  <si>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</si>
  <si>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</si>
  <si>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</si>
  <si>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</si>
  <si>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</si>
  <si>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</si>
  <si>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</si>
  <si>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</si>
  <si>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</si>
  <si>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</si>
  <si>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</si>
  <si>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</si>
  <si>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</si>
  <si>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</si>
  <si>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</si>
  <si>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</si>
  <si>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</si>
  <si>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</si>
  <si>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</si>
  <si>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</si>
  <si>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</si>
  <si>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</si>
  <si>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</si>
  <si>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</si>
  <si>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</si>
  <si>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</si>
  <si>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</si>
  <si>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</si>
  <si>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</si>
  <si>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</si>
  <si>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</si>
  <si>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</si>
  <si>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</si>
  <si>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</si>
  <si>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</si>
  <si>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</si>
  <si>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</si>
  <si>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</si>
  <si>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</si>
  <si>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</si>
  <si>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</si>
  <si>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</si>
  <si>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</si>
  <si>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</si>
  <si>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</si>
  <si>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</si>
  <si>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</si>
  <si>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</si>
  <si>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</si>
  <si>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</si>
  <si>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</si>
  <si>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</si>
  <si>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</si>
  <si>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</si>
  <si>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</si>
  <si>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</si>
  <si>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</si>
  <si>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</si>
  <si>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</si>
  <si>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</si>
  <si>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</si>
  <si>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</si>
  <si>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</si>
  <si>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</si>
  <si>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</si>
  <si>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</si>
  <si>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</si>
  <si>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</si>
  <si>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</si>
  <si>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</si>
  <si>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</si>
  <si>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</si>
  <si>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</si>
  <si>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</si>
  <si>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</si>
  <si>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</si>
  <si>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</si>
  <si>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</si>
  <si>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</si>
  <si>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</si>
  <si>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</si>
  <si>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</si>
  <si>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</si>
  <si>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</si>
  <si>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</si>
  <si>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</si>
  <si>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</si>
  <si>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</si>
  <si>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</si>
  <si>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</si>
  <si>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</si>
  <si>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</si>
  <si>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</si>
  <si>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</si>
  <si>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</si>
  <si>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</si>
  <si>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</si>
  <si>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</si>
  <si>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</si>
  <si>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</si>
  <si>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</si>
  <si>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</si>
  <si>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</si>
  <si>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</si>
  <si>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</si>
  <si>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</si>
  <si>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</si>
  <si>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</si>
  <si>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</si>
  <si>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</si>
  <si>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</si>
  <si>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</si>
  <si>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</si>
  <si>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</si>
  <si>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</si>
  <si>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</si>
  <si>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</si>
  <si>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</si>
  <si>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</si>
  <si>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</si>
  <si>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</si>
  <si>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</si>
  <si>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</si>
  <si>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</si>
  <si>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</si>
  <si>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</si>
  <si>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</si>
  <si>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</si>
  <si>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</si>
  <si>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</si>
  <si>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</si>
  <si>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</si>
  <si>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</si>
  <si>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</si>
  <si>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</si>
  <si>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</si>
  <si>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</si>
  <si>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</si>
  <si>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</si>
  <si>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</si>
  <si>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</si>
  <si>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</si>
  <si>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</si>
  <si>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</si>
  <si>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</si>
  <si>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</si>
  <si>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</si>
  <si>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</si>
  <si>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</si>
  <si>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</si>
  <si>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</si>
  <si>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</si>
  <si>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</si>
  <si>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</si>
  <si>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</si>
  <si>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</si>
  <si>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</si>
  <si>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</si>
  <si>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</si>
  <si>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</si>
  <si>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</si>
  <si>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</si>
  <si>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</si>
  <si>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</si>
  <si>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</si>
  <si>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</si>
  <si>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</si>
  <si>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</si>
  <si>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</si>
  <si>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</si>
  <si>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</si>
  <si>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</si>
  <si>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</si>
  <si>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</si>
  <si>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</si>
  <si>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</si>
  <si>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</si>
  <si>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</si>
  <si>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</si>
  <si>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</si>
  <si>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</si>
  <si>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</si>
  <si>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</si>
  <si>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</si>
  <si>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</si>
  <si>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</si>
  <si>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</si>
  <si>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</si>
  <si>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</si>
  <si>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</si>
  <si>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</si>
  <si>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</si>
  <si>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</si>
  <si>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</si>
  <si>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</si>
  <si>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</si>
  <si>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</si>
  <si>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</si>
  <si>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</si>
  <si>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</si>
  <si>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</si>
  <si>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</si>
  <si>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</si>
  <si>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</si>
  <si>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</si>
  <si>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</si>
  <si>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</si>
  <si>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</si>
  <si>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</si>
  <si>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</si>
  <si>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</si>
  <si>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</si>
  <si>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</si>
  <si>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</si>
  <si>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</si>
  <si>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</si>
  <si>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</si>
  <si>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</si>
  <si>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</si>
  <si>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</si>
  <si>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</si>
  <si>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</si>
  <si>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</si>
  <si>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</si>
  <si>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</si>
  <si>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</si>
  <si>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</si>
  <si>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</si>
  <si>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</si>
  <si>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</si>
  <si>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</si>
  <si>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</si>
  <si>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</si>
  <si>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</si>
  <si>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</si>
  <si>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</si>
  <si>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</si>
  <si>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</si>
  <si>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</si>
  <si>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</si>
  <si>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</si>
  <si>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</si>
  <si>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</si>
  <si>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</si>
  <si>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</si>
  <si>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</si>
  <si>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</si>
  <si>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</si>
  <si>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</si>
  <si>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</si>
  <si>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</si>
  <si>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</si>
  <si>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</si>
  <si>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</si>
  <si>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</si>
  <si>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</si>
  <si>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</si>
  <si>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</si>
  <si>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</si>
  <si>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</si>
  <si>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</si>
  <si>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</si>
  <si>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</si>
  <si>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</si>
  <si>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</si>
  <si>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</si>
  <si>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</si>
  <si>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</si>
  <si>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</si>
  <si>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</si>
  <si>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</si>
  <si>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</si>
  <si>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</si>
  <si>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</si>
  <si>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</si>
  <si>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</si>
  <si>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</si>
  <si>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</si>
  <si>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</si>
  <si>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</si>
  <si>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</si>
  <si>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</si>
  <si>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</si>
  <si>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</si>
  <si>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</si>
  <si>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</si>
  <si>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</si>
  <si>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</si>
  <si>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</si>
  <si>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</si>
  <si>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</si>
  <si>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</si>
  <si>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</si>
  <si>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</si>
  <si>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</si>
  <si>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</si>
  <si>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</si>
  <si>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</si>
  <si>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</si>
  <si>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</si>
  <si>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</si>
  <si>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</si>
  <si>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</si>
  <si>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</si>
  <si>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</si>
  <si>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</si>
  <si>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</si>
  <si>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</si>
  <si>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</si>
  <si>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</si>
  <si>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</si>
  <si>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</si>
  <si>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</si>
  <si>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</si>
  <si>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</si>
  <si>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</si>
  <si>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</si>
  <si>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</si>
  <si>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</si>
  <si>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</si>
  <si>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</si>
  <si>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</si>
  <si>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</si>
  <si>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</si>
  <si>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</si>
  <si>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</si>
  <si>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</si>
  <si>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</si>
  <si>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</si>
  <si>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</si>
  <si>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</si>
  <si>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</si>
  <si>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</si>
  <si>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</si>
  <si>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</si>
  <si>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</si>
  <si>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</si>
  <si>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</si>
  <si>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</si>
  <si>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</si>
  <si>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</si>
  <si>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</si>
  <si>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</si>
  <si>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</si>
  <si>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</si>
  <si>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</si>
  <si>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</si>
  <si>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</si>
  <si>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</si>
  <si>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</si>
  <si>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</si>
  <si>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</si>
  <si>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</si>
  <si>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</si>
  <si>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</si>
  <si>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</si>
  <si>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</si>
  <si>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</si>
  <si>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</si>
  <si>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</si>
  <si>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</si>
  <si>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</si>
  <si>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</si>
  <si>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</si>
  <si>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</si>
  <si>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</si>
  <si>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</si>
  <si>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</si>
  <si>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</si>
  <si>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</si>
  <si>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</si>
  <si>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</si>
  <si>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</si>
  <si>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</si>
  <si>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</si>
  <si>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</si>
  <si>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</si>
  <si>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</si>
  <si>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</si>
  <si>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</si>
  <si>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</si>
  <si>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</si>
  <si>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</si>
  <si>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</si>
  <si>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</si>
  <si>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</si>
  <si>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</si>
  <si>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</si>
  <si>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</si>
  <si>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</si>
  <si>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</si>
  <si>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</si>
  <si>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</si>
  <si>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</si>
  <si>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</si>
  <si>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</si>
  <si>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</si>
  <si>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</si>
  <si>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</si>
  <si>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</si>
  <si>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</si>
  <si>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</si>
  <si>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</si>
  <si>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</si>
  <si>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</si>
  <si>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</si>
  <si>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</si>
  <si>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</si>
  <si>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</si>
  <si>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</si>
  <si>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</si>
  <si>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</si>
  <si>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</si>
  <si>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</si>
  <si>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</si>
  <si>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</si>
  <si>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</si>
  <si>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</si>
  <si>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</si>
  <si>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</si>
  <si>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</si>
  <si>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</si>
  <si>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</si>
  <si>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</si>
  <si>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</si>
  <si>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</si>
  <si>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</si>
  <si>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</si>
  <si>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</si>
  <si>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</si>
  <si>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</si>
  <si>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</si>
  <si>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</si>
  <si>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</si>
  <si>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</si>
  <si>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</si>
  <si>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</si>
  <si>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</si>
  <si>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</si>
  <si>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</si>
  <si>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</si>
  <si>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</si>
  <si>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</si>
  <si>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</si>
  <si>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</si>
  <si>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</si>
  <si>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</si>
  <si>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</si>
  <si>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</si>
  <si>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</si>
  <si>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</si>
  <si>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</si>
  <si>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</si>
  <si>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</si>
  <si>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</si>
  <si>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</si>
  <si>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</si>
  <si>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</si>
  <si>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</si>
  <si>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</si>
  <si>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</si>
  <si>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</si>
  <si>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</si>
  <si>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</si>
  <si>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</si>
  <si>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</si>
  <si>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</si>
  <si>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</si>
  <si>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</si>
  <si>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</si>
  <si>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</si>
  <si>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</si>
  <si>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</si>
  <si>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</si>
  <si>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</si>
  <si>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</si>
  <si>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</si>
  <si>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</si>
  <si>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</si>
  <si>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</si>
  <si>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</si>
  <si>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</si>
  <si>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</si>
  <si>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</si>
  <si>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</si>
  <si>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</si>
  <si>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</si>
  <si>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</si>
  <si>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</si>
  <si>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</si>
  <si>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</si>
  <si>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</si>
  <si>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</si>
  <si>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</si>
  <si>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</si>
  <si>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</si>
  <si>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</si>
  <si>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</si>
  <si>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</si>
  <si>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</si>
  <si>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</si>
  <si>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</si>
  <si>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</si>
  <si>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</si>
  <si>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</si>
  <si>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</si>
  <si>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</si>
  <si>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</si>
  <si>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</si>
  <si>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</si>
  <si>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</si>
  <si>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</si>
  <si>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</si>
  <si>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</si>
  <si>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</si>
  <si>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</si>
  <si>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</si>
  <si>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</si>
  <si>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</si>
  <si>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</si>
  <si>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</si>
  <si>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</si>
  <si>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</si>
  <si>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</si>
  <si>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</si>
  <si>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</si>
  <si>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</si>
  <si>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</si>
  <si>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</si>
  <si>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</si>
  <si>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</si>
  <si>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</si>
  <si>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</si>
  <si>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</si>
  <si>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</si>
  <si>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</si>
  <si>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</si>
  <si>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</si>
  <si>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</si>
  <si>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</si>
  <si>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</si>
  <si>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</si>
  <si>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</si>
  <si>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</si>
  <si>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</si>
  <si>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</si>
  <si>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</si>
  <si>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</si>
  <si>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</si>
  <si>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</si>
  <si>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</si>
  <si>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</si>
  <si>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</si>
  <si>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</si>
  <si>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</si>
  <si>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</si>
  <si>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</si>
  <si>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</si>
  <si>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</si>
  <si>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</si>
  <si>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</si>
  <si>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</si>
  <si>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</si>
  <si>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</si>
  <si>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</si>
  <si>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</si>
  <si>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</si>
  <si>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</si>
  <si>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</si>
  <si>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</si>
  <si>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</si>
  <si>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</si>
  <si>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</si>
  <si>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</si>
  <si>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</si>
  <si>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</si>
  <si>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</si>
  <si>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</si>
  <si>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</si>
  <si>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</si>
  <si>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</si>
  <si>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</si>
  <si>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</si>
  <si>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</si>
  <si>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</si>
  <si>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</si>
  <si>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</si>
  <si>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</si>
  <si>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</si>
  <si>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</si>
  <si>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</si>
  <si>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</si>
  <si>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</si>
  <si>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</si>
  <si>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</si>
  <si>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</si>
  <si>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</si>
  <si>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</si>
  <si>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</si>
  <si>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</si>
  <si>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</si>
  <si>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</si>
  <si>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</si>
  <si>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</si>
  <si>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</si>
  <si>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</si>
  <si>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</si>
  <si>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</si>
  <si>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</si>
  <si>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</si>
  <si>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</si>
  <si>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</si>
  <si>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</si>
  <si>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</si>
  <si>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</si>
  <si>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</si>
  <si>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</si>
  <si>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</si>
  <si>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</si>
  <si>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</si>
  <si>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</si>
  <si>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</si>
  <si>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</si>
  <si>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</si>
  <si>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</si>
  <si>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</si>
  <si>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</si>
  <si>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</si>
  <si>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</si>
  <si>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</si>
  <si>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</si>
  <si>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</si>
  <si>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</si>
  <si>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</si>
  <si>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</si>
  <si>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</si>
  <si>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</si>
  <si>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</si>
  <si>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</si>
  <si>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</si>
  <si>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</si>
  <si>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</si>
  <si>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</si>
  <si>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</si>
  <si>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</si>
  <si>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</si>
  <si>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</si>
  <si>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</si>
  <si>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</si>
  <si>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</si>
  <si>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</si>
  <si>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</si>
  <si>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</si>
  <si>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</si>
  <si>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</si>
  <si>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</si>
  <si>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</si>
  <si>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</si>
  <si>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</si>
  <si>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</si>
  <si>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</si>
  <si>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</si>
  <si>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</si>
  <si>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</si>
  <si>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</si>
  <si>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</si>
  <si>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</si>
  <si>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</si>
  <si>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</si>
  <si>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</si>
  <si>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</si>
  <si>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</si>
  <si>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</si>
  <si>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</si>
  <si>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</si>
  <si>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</si>
  <si>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</si>
  <si>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</si>
  <si>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</si>
  <si>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</si>
  <si>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</si>
  <si>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</si>
  <si>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</si>
  <si>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</si>
  <si>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</si>
  <si>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</si>
  <si>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</si>
  <si>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</si>
  <si>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</si>
  <si>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</si>
  <si>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</si>
  <si>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</si>
  <si>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</si>
  <si>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</si>
  <si>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</si>
  <si>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</si>
  <si>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</si>
  <si>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</si>
  <si>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</si>
  <si>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</si>
  <si>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</si>
  <si>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</si>
  <si>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</si>
  <si>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</si>
  <si>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</si>
  <si>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</si>
  <si>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</si>
  <si>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</si>
  <si>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</si>
  <si>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</si>
  <si>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</si>
  <si>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</si>
  <si>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</si>
  <si>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</si>
  <si>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</si>
  <si>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</si>
  <si>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</si>
  <si>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</si>
  <si>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</si>
  <si>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</si>
  <si>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</si>
  <si>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</si>
  <si>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</si>
  <si>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</si>
  <si>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</si>
  <si>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</si>
  <si>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</si>
  <si>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</si>
  <si>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</si>
  <si>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</si>
  <si>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</si>
  <si>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</si>
  <si>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</si>
  <si>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</si>
  <si>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</si>
  <si>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</si>
  <si>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</si>
  <si>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</si>
  <si>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</si>
  <si>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</si>
  <si>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</si>
  <si>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</si>
  <si>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</si>
  <si>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</si>
  <si>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</si>
  <si>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</si>
  <si>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</si>
  <si>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</si>
  <si>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</si>
  <si>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</si>
  <si>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</si>
  <si>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</si>
  <si>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</si>
  <si>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</si>
  <si>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</si>
  <si>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</si>
  <si>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</si>
  <si>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</si>
  <si>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</si>
  <si>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</si>
  <si>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</si>
  <si>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</si>
  <si>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</si>
  <si>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</si>
  <si>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</si>
  <si>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</si>
  <si>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</si>
  <si>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</si>
  <si>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</si>
  <si>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</si>
  <si>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</si>
  <si>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</si>
  <si>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</si>
  <si>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</si>
  <si>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</si>
  <si>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</si>
  <si>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</si>
  <si>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</si>
  <si>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</si>
  <si>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</si>
  <si>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</si>
  <si>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</si>
  <si>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</si>
  <si>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</si>
  <si>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</si>
  <si>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</si>
  <si>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</si>
  <si>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</si>
  <si>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</si>
  <si>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</si>
  <si>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</si>
  <si>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</si>
  <si>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</si>
  <si>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</si>
  <si>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</si>
  <si>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</si>
  <si>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</si>
  <si>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</si>
  <si>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</si>
  <si>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</si>
  <si>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</si>
  <si>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</si>
  <si>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</si>
  <si>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</si>
  <si>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</si>
  <si>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</si>
  <si>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</si>
  <si>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</si>
  <si>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</si>
  <si>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</si>
  <si>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</si>
  <si>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</si>
  <si>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</si>
  <si>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</si>
  <si>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</si>
  <si>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</si>
  <si>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</si>
  <si>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</si>
  <si>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</si>
  <si>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</si>
  <si>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</si>
  <si>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</si>
  <si>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</si>
  <si>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</si>
  <si>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</si>
  <si>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</si>
  <si>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</si>
  <si>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</si>
  <si>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</si>
  <si>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</si>
  <si>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</si>
  <si>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</si>
  <si>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</si>
  <si>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</si>
  <si>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</si>
  <si>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</si>
  <si>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</si>
  <si>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</si>
  <si>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</si>
  <si>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</si>
  <si>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</si>
  <si>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</si>
  <si>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</si>
  <si>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</si>
  <si>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</si>
  <si>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</si>
  <si>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</si>
  <si>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</si>
  <si>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</si>
  <si>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</si>
  <si>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</si>
  <si>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</si>
  <si>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</si>
  <si>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</si>
  <si>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</si>
  <si>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</si>
  <si>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</si>
  <si>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</si>
  <si>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</si>
  <si>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</si>
  <si>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</si>
  <si>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</si>
  <si>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</si>
  <si>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</si>
  <si>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</si>
  <si>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</si>
  <si>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</si>
  <si>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</si>
  <si>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</si>
  <si>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</si>
  <si>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</si>
  <si>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</si>
  <si>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</si>
  <si>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</si>
  <si>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</si>
  <si>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</si>
  <si>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</si>
  <si>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</si>
  <si>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</si>
  <si>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</si>
  <si>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</si>
  <si>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</si>
  <si>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</si>
  <si>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</si>
  <si>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</si>
  <si>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</si>
  <si>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</si>
  <si>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</si>
  <si>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</si>
  <si>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</si>
  <si>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</si>
  <si>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</si>
  <si>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</si>
  <si>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</si>
  <si>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</si>
  <si>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</si>
  <si>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</si>
  <si>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</si>
  <si>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</si>
  <si>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</si>
  <si>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</si>
  <si>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</si>
  <si>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</si>
  <si>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</si>
  <si>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</si>
  <si>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</si>
  <si>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</si>
  <si>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</si>
  <si>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</si>
  <si>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</si>
  <si>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</si>
  <si>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</si>
  <si>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</si>
  <si>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</si>
  <si>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</si>
  <si>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</si>
  <si>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</si>
  <si>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</si>
  <si>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</si>
  <si>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</si>
  <si>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</si>
  <si>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</si>
  <si>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</si>
  <si>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</si>
  <si>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</si>
  <si>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</si>
  <si>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</si>
  <si>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</si>
  <si>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</si>
  <si>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</si>
  <si>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</si>
  <si>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</si>
  <si>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</si>
  <si>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</si>
  <si>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</si>
  <si>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</si>
  <si>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</si>
  <si>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</si>
  <si>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</si>
  <si>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</si>
  <si>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</si>
  <si>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</si>
  <si>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</si>
  <si>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</si>
  <si>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</si>
  <si>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</si>
  <si>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</si>
  <si>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</si>
  <si>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</si>
  <si>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</si>
  <si>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</si>
  <si>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</si>
  <si>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</si>
  <si>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</si>
  <si>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</si>
  <si>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</si>
  <si>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</si>
  <si>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</si>
  <si>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</si>
  <si>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</si>
  <si>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</si>
  <si>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</si>
  <si>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</si>
  <si>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</si>
  <si>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</si>
  <si>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</si>
  <si>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</si>
  <si>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</si>
  <si>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</si>
  <si>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</si>
  <si>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</si>
  <si>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</si>
  <si>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</si>
  <si>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</si>
  <si>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</si>
  <si>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</si>
  <si>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</si>
  <si>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</si>
  <si>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</si>
  <si>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</si>
  <si>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</si>
  <si>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</si>
  <si>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</si>
  <si>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</si>
  <si>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</si>
  <si>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</si>
  <si>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</si>
  <si>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</si>
  <si>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</si>
  <si>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</si>
  <si>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</si>
  <si>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</si>
  <si>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</si>
  <si>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</si>
  <si>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</si>
  <si>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</si>
  <si>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</si>
  <si>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</si>
  <si>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</si>
  <si>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</si>
  <si>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</si>
  <si>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</si>
  <si>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</si>
  <si>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</si>
  <si>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</si>
  <si>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</si>
  <si>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</si>
  <si>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</si>
  <si>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</si>
  <si>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</si>
  <si>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</si>
  <si>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</si>
  <si>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</si>
  <si>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</si>
  <si>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</si>
  <si>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</si>
  <si>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</si>
  <si>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</si>
  <si>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</si>
  <si>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</si>
  <si>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</si>
  <si>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</si>
  <si>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</si>
  <si>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</si>
  <si>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</si>
  <si>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</si>
  <si>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</si>
  <si>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</si>
  <si>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</si>
  <si>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</si>
  <si>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</si>
  <si>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</si>
  <si>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</si>
  <si>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</si>
  <si>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</si>
  <si>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</si>
  <si>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</si>
  <si>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</si>
  <si>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</si>
  <si>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</si>
  <si>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</si>
  <si>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</si>
  <si>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</si>
  <si>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</si>
  <si>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</si>
  <si>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</si>
  <si>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</si>
  <si>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</si>
  <si>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</si>
  <si>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</si>
  <si>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</si>
  <si>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</si>
  <si>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</si>
  <si>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</si>
  <si>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</si>
  <si>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</si>
  <si>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</si>
  <si>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</si>
  <si>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</si>
  <si>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</si>
  <si>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</si>
  <si>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</si>
  <si>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</si>
  <si>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</si>
  <si>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</si>
  <si>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</si>
  <si>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</si>
  <si>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</si>
  <si>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</si>
  <si>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</si>
  <si>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</si>
  <si>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</si>
  <si>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</si>
  <si>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</si>
  <si>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</si>
  <si>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</si>
  <si>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</si>
  <si>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</si>
  <si>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</si>
  <si>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</si>
  <si>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</si>
  <si>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</si>
  <si>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</si>
  <si>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</si>
  <si>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</si>
  <si>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</si>
  <si>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</si>
  <si>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</si>
  <si>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</si>
  <si>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</si>
  <si>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</si>
  <si>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</si>
  <si>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</si>
  <si>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</si>
  <si>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</si>
  <si>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</si>
  <si>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</si>
  <si>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</si>
  <si>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</si>
  <si>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</si>
  <si>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</si>
  <si>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</si>
  <si>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</si>
  <si>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</si>
  <si>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</si>
  <si>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</si>
  <si>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</si>
  <si>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</si>
  <si>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</si>
  <si>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</si>
  <si>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</si>
  <si>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</si>
  <si>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</si>
  <si>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</si>
  <si>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</si>
  <si>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</si>
  <si>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</si>
  <si>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</si>
  <si>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</si>
  <si>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</si>
  <si>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</si>
  <si>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</si>
  <si>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</si>
  <si>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</si>
  <si>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</si>
  <si>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</si>
  <si>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</si>
  <si>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</si>
  <si>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</si>
  <si>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</si>
  <si>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</si>
  <si>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</si>
  <si>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</si>
  <si>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</si>
  <si>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</si>
  <si>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</si>
  <si>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</si>
  <si>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</si>
  <si>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</si>
  <si>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</si>
  <si>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</si>
  <si>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</si>
  <si>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</si>
  <si>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</si>
  <si>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</si>
  <si>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</si>
  <si>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</si>
  <si>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</si>
  <si>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</si>
  <si>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</si>
  <si>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</si>
  <si>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</si>
  <si>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</si>
  <si>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</si>
  <si>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</si>
  <si>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</si>
  <si>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</si>
  <si>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</si>
  <si>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</si>
  <si>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</si>
  <si>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</si>
  <si>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</si>
  <si>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</si>
  <si>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</si>
  <si>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</si>
  <si>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</si>
  <si>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</si>
  <si>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</si>
  <si>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</si>
  <si>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</si>
  <si>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</si>
  <si>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</si>
  <si>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</si>
  <si>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</si>
  <si>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</si>
  <si>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</si>
  <si>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</si>
  <si>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</si>
  <si>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</si>
  <si>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</si>
  <si>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</si>
  <si>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</si>
  <si>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</si>
  <si>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</si>
  <si>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</si>
  <si>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</si>
  <si>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</si>
  <si>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</si>
  <si>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</si>
  <si>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</si>
  <si>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</si>
  <si>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</si>
  <si>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</si>
  <si>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</si>
  <si>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</si>
  <si>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</si>
  <si>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</si>
  <si>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</si>
  <si>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</si>
  <si>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</si>
  <si>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</si>
  <si>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</si>
  <si>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</si>
  <si>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</si>
  <si>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</si>
  <si>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</si>
  <si>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</si>
  <si>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</si>
  <si>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</si>
  <si>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</si>
  <si>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</si>
  <si>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</si>
  <si>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</si>
  <si>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</si>
  <si>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</si>
  <si>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</si>
  <si>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</si>
  <si>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</si>
  <si>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</si>
  <si>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</si>
  <si>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</si>
  <si>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</si>
  <si>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</si>
  <si>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</si>
  <si>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</si>
  <si>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</si>
  <si>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</si>
  <si>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</si>
  <si>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</si>
  <si>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</si>
  <si>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</si>
  <si>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</si>
  <si>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</si>
  <si>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</si>
  <si>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</si>
  <si>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</si>
  <si>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</si>
  <si>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</si>
  <si>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</si>
  <si>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</si>
  <si>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</si>
  <si>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</si>
  <si>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</si>
  <si>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</si>
  <si>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</si>
  <si>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</si>
  <si>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</si>
  <si>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</si>
  <si>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</si>
  <si>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</si>
  <si>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</si>
  <si>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</si>
  <si>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</si>
  <si>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</si>
  <si>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</si>
  <si>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</si>
  <si>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</si>
  <si>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</si>
  <si>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</si>
  <si>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</si>
  <si>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</si>
  <si>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</si>
  <si>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</si>
  <si>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</si>
  <si>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</si>
  <si>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</si>
  <si>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</si>
  <si>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</si>
  <si>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</si>
  <si>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</si>
  <si>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</si>
  <si>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</si>
  <si>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</si>
  <si>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</si>
  <si>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</si>
  <si>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</si>
  <si>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</si>
  <si>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</si>
  <si>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</si>
  <si>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</si>
  <si>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</si>
  <si>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</si>
  <si>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</si>
  <si>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</si>
  <si>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</si>
  <si>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</si>
  <si>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</si>
  <si>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</si>
  <si>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</si>
  <si>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</si>
  <si>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</si>
  <si>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</si>
  <si>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</si>
  <si>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</si>
  <si>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</si>
  <si>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</si>
  <si>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</si>
  <si>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</si>
  <si>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</si>
  <si>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</si>
  <si>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</si>
  <si>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</si>
  <si>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</si>
  <si>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</si>
  <si>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</si>
  <si>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</si>
  <si>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</si>
  <si>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</si>
  <si>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</si>
  <si>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</si>
  <si>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</si>
  <si>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</si>
  <si>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</si>
  <si>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</si>
  <si>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</si>
  <si>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</si>
  <si>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</si>
  <si>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</si>
  <si>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</si>
  <si>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</si>
  <si>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</si>
  <si>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</si>
  <si>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</si>
  <si>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</si>
  <si>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</si>
  <si>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</si>
  <si>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</si>
  <si>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</si>
  <si>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</si>
  <si>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</si>
  <si>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</si>
  <si>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</si>
  <si>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</si>
  <si>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</si>
  <si>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</si>
  <si>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</si>
  <si>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</si>
  <si>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</si>
  <si>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</si>
  <si>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</si>
  <si>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</si>
  <si>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</si>
  <si>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</si>
  <si>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</si>
  <si>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</si>
  <si>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</si>
  <si>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</si>
  <si>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</si>
  <si>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</si>
  <si>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</si>
  <si>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</si>
  <si>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</si>
  <si>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</si>
  <si>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</si>
  <si>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</si>
  <si>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</si>
  <si>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</si>
  <si>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</si>
  <si>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</si>
  <si>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</si>
  <si>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</si>
  <si>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</si>
  <si>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</si>
  <si>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</si>
  <si>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</si>
  <si>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</si>
  <si>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</si>
  <si>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</si>
  <si>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</si>
  <si>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</si>
  <si>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</si>
  <si>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</si>
  <si>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</si>
  <si>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</si>
  <si>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</si>
  <si>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</si>
  <si>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</si>
  <si>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</si>
  <si>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</si>
  <si>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</si>
  <si>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</si>
  <si>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</si>
  <si>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</si>
  <si>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</si>
  <si>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</si>
  <si>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</si>
  <si>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</si>
  <si>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</si>
  <si>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</si>
  <si>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</si>
  <si>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</si>
  <si>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</si>
  <si>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</si>
  <si>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</si>
  <si>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</si>
  <si>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</si>
  <si>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</si>
  <si>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</si>
  <si>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</si>
  <si>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</si>
  <si>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</si>
  <si>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</si>
  <si>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</si>
  <si>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</si>
  <si>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</si>
  <si>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</si>
  <si>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</si>
  <si>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</si>
  <si>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</si>
  <si>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</si>
  <si>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</si>
  <si>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</si>
  <si>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</si>
  <si>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</si>
  <si>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</si>
  <si>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</si>
  <si>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</si>
  <si>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</si>
  <si>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</si>
  <si>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</si>
  <si>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</si>
  <si>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</si>
  <si>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</si>
  <si>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</si>
  <si>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</si>
  <si>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</si>
  <si>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</si>
  <si>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</si>
  <si>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</si>
  <si>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</si>
  <si>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</si>
  <si>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</si>
  <si>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</si>
  <si>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</si>
  <si>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</si>
  <si>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</si>
  <si>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</si>
  <si>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</si>
  <si>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</si>
  <si>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</si>
  <si>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</si>
  <si>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</si>
  <si>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</si>
  <si>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</si>
  <si>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</si>
  <si>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</si>
  <si>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</si>
  <si>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</si>
  <si>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</si>
  <si>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</si>
  <si>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</si>
  <si>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</si>
  <si>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</si>
  <si>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</si>
  <si>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</si>
  <si>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</si>
  <si>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</si>
  <si>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</si>
  <si>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</si>
  <si>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</si>
  <si>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</si>
  <si>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</si>
  <si>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</si>
  <si>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</si>
  <si>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</si>
  <si>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</si>
  <si>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</si>
  <si>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</si>
  <si>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</si>
  <si>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</si>
  <si>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</si>
  <si>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</si>
  <si>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</si>
  <si>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</si>
  <si>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</si>
  <si>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</si>
  <si>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</si>
  <si>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</si>
  <si>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</si>
  <si>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</si>
  <si>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</si>
  <si>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</si>
  <si>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</si>
  <si>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</si>
  <si>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</si>
  <si>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</si>
  <si>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</si>
  <si>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</si>
  <si>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</si>
  <si>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</si>
  <si>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</si>
  <si>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</si>
  <si>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</si>
  <si>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</si>
  <si>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</si>
  <si>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</si>
  <si>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</si>
  <si>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</si>
  <si>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</si>
  <si>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</si>
  <si>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</si>
  <si>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</si>
  <si>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</si>
  <si>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</si>
  <si>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</si>
  <si>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</si>
  <si>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</si>
  <si>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</si>
  <si>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</si>
  <si>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</si>
  <si>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</si>
  <si>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</si>
  <si>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</si>
  <si>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</si>
  <si>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</si>
  <si>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</si>
  <si>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</si>
  <si>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</si>
  <si>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</si>
  <si>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</si>
  <si>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</si>
  <si>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</si>
  <si>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</si>
  <si>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</si>
  <si>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</si>
  <si>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</si>
  <si>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</si>
  <si>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</si>
  <si>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</si>
  <si>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</si>
  <si>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</si>
  <si>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</si>
  <si>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</si>
  <si>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</si>
  <si>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</si>
  <si>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</si>
  <si>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</si>
  <si>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</si>
  <si>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</si>
  <si>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</si>
  <si>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</si>
  <si>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</si>
  <si>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</si>
  <si>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</si>
  <si>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</si>
  <si>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</si>
  <si>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</si>
  <si>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</si>
  <si>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</si>
  <si>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</si>
  <si>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</si>
  <si>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</si>
  <si>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</si>
  <si>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</si>
  <si>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</si>
  <si>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</si>
  <si>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</si>
  <si>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</si>
  <si>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</si>
  <si>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</si>
  <si>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</si>
  <si>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</si>
  <si>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</si>
  <si>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</si>
  <si>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</si>
  <si>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</si>
  <si>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</si>
  <si>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</si>
  <si>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</si>
  <si>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</si>
  <si>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</si>
  <si>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</si>
  <si>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</si>
  <si>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</si>
  <si>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</si>
  <si>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</si>
  <si>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</si>
  <si>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</si>
  <si>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</si>
  <si>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</si>
  <si>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</si>
  <si>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</si>
  <si>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</si>
  <si>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</si>
  <si>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</si>
  <si>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</si>
  <si>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</si>
  <si>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</si>
  <si>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</si>
  <si>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</si>
  <si>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</si>
  <si>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</si>
  <si>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</si>
  <si>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</si>
  <si>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</si>
  <si>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</si>
  <si>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</si>
  <si>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</si>
  <si>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</si>
  <si>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</si>
  <si>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</si>
  <si>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</si>
  <si>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</si>
  <si>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</si>
  <si>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</si>
  <si>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</si>
  <si>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</si>
  <si>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</si>
  <si>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</si>
  <si>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</si>
  <si>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</si>
  <si>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</si>
  <si>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</si>
  <si>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</si>
  <si>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</si>
  <si>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</si>
  <si>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</si>
  <si>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</si>
  <si>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</si>
  <si>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</si>
  <si>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</si>
  <si>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</si>
  <si>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</si>
  <si>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</si>
  <si>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</si>
  <si>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</si>
  <si>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</si>
  <si>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</si>
  <si>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</si>
  <si>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</si>
  <si>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</si>
  <si>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</si>
  <si>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</si>
  <si>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</si>
  <si>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</si>
  <si>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</si>
  <si>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</si>
  <si>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</si>
  <si>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</si>
  <si>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</si>
  <si>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</si>
  <si>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</si>
  <si>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</si>
  <si>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</si>
  <si>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</si>
  <si>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</si>
  <si>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</si>
  <si>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</si>
  <si>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</si>
  <si>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</si>
  <si>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</si>
  <si>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</si>
  <si>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</si>
  <si>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</si>
  <si>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</si>
  <si>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</si>
  <si>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</si>
  <si>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</si>
  <si>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</si>
  <si>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</si>
  <si>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</si>
  <si>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</si>
  <si>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</si>
  <si>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</si>
  <si>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</si>
  <si>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</si>
  <si>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</si>
  <si>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</si>
  <si>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</si>
  <si>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</si>
  <si>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</si>
  <si>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</si>
  <si>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</si>
  <si>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</si>
  <si>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</si>
  <si>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</si>
  <si>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</si>
  <si>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</si>
  <si>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</si>
  <si>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</si>
  <si>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</si>
  <si>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</si>
  <si>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</si>
  <si>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</si>
  <si>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</si>
  <si>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</si>
  <si>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</si>
  <si>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</si>
  <si>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</si>
  <si>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</si>
  <si>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</si>
  <si>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</si>
  <si>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</si>
  <si>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</si>
  <si>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</si>
  <si>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</si>
  <si>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</si>
  <si>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</si>
  <si>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</si>
  <si>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</si>
  <si>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</si>
  <si>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</si>
  <si>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</si>
  <si>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</si>
  <si>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</si>
  <si>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</si>
  <si>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</si>
  <si>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</si>
  <si>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</si>
  <si>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</si>
  <si>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</si>
  <si>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</si>
  <si>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</si>
  <si>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</si>
  <si>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</si>
  <si>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</si>
  <si>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</si>
  <si>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</si>
  <si>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</si>
  <si>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</si>
  <si>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</si>
  <si>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</si>
  <si>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</si>
  <si>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</si>
  <si>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</si>
  <si>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</si>
  <si>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</si>
  <si>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</si>
  <si>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</si>
  <si>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</si>
  <si>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</si>
  <si>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</si>
  <si>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</si>
  <si>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</si>
  <si>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</si>
  <si>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</si>
  <si>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</si>
  <si>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</si>
  <si>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</si>
  <si>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</si>
  <si>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</si>
  <si>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</si>
  <si>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</si>
  <si>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</si>
  <si>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</si>
  <si>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</si>
  <si>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</si>
  <si>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</si>
  <si>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</si>
  <si>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</si>
  <si>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</si>
  <si>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</si>
  <si>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</si>
  <si>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</si>
  <si>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</si>
  <si>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</si>
  <si>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</si>
  <si>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</si>
  <si>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</si>
  <si>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</si>
  <si>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</si>
  <si>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</si>
  <si>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</si>
  <si>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</si>
  <si>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</si>
  <si>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</si>
  <si>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</si>
  <si>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</si>
  <si>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</si>
  <si>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</si>
  <si>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</si>
  <si>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</si>
  <si>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</si>
  <si>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</si>
  <si>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</si>
  <si>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</si>
  <si>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</si>
  <si>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</si>
  <si>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</si>
  <si>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</si>
  <si>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</si>
  <si>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</si>
  <si>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</si>
  <si>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</si>
  <si>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</si>
  <si>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</si>
  <si>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</si>
  <si>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</si>
  <si>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</si>
  <si>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</si>
  <si>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</si>
  <si>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</si>
  <si>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</si>
  <si>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</si>
  <si>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</si>
  <si>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</si>
  <si>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</si>
  <si>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</si>
  <si>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</si>
  <si>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</si>
  <si>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</si>
  <si>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</si>
  <si>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</si>
  <si>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</si>
  <si>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</si>
  <si>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</si>
  <si>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</si>
  <si>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</si>
  <si>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</si>
  <si>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</si>
  <si>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</si>
  <si>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</si>
  <si>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</si>
  <si>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</si>
  <si>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</si>
  <si>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</si>
  <si>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</si>
  <si>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</si>
  <si>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</si>
  <si>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</si>
  <si>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</si>
  <si>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</si>
  <si>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</si>
  <si>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</si>
  <si>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</si>
  <si>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</si>
  <si>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</si>
  <si>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</si>
  <si>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</si>
  <si>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</si>
  <si>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</si>
  <si>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</si>
  <si>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</si>
  <si>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</si>
  <si>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</si>
  <si>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</si>
  <si>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</si>
  <si>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</si>
  <si>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</si>
  <si>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</si>
  <si>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</si>
  <si>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</si>
  <si>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</si>
  <si>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</si>
  <si>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</si>
  <si>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</si>
  <si>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</si>
  <si>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</si>
  <si>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</si>
  <si>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</si>
  <si>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</si>
  <si>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</si>
  <si>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</si>
  <si>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</si>
  <si>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</si>
  <si>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</si>
  <si>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</si>
  <si>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</si>
  <si>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</si>
  <si>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</si>
  <si>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</si>
  <si>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</si>
  <si>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</si>
  <si>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</si>
  <si>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</si>
  <si>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</si>
  <si>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</si>
  <si>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</si>
  <si>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</si>
  <si>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</si>
  <si>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</si>
  <si>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</si>
  <si>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</si>
  <si>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</si>
  <si>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</si>
  <si>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</si>
  <si>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</si>
  <si>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</si>
  <si>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</si>
  <si>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</si>
  <si>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</si>
  <si>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</si>
  <si>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</si>
  <si>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</si>
  <si>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</si>
  <si>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</si>
  <si>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</si>
  <si>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</si>
  <si>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</si>
  <si>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</si>
  <si>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</si>
  <si>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</si>
  <si>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</si>
  <si>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</si>
  <si>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</si>
  <si>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</si>
  <si>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</si>
  <si>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</si>
  <si>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</si>
  <si>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</si>
  <si>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</si>
  <si>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</si>
  <si>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</si>
  <si>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</si>
  <si>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</si>
  <si>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</si>
  <si>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</si>
  <si>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</si>
  <si>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</si>
  <si>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</si>
  <si>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</si>
  <si>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</si>
  <si>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</si>
  <si>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</si>
  <si>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</si>
  <si>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</si>
  <si>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</si>
  <si>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</si>
  <si>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</si>
  <si>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</si>
  <si>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</si>
  <si>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</si>
  <si>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</si>
  <si>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</si>
  <si>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</si>
  <si>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</si>
  <si>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</si>
  <si>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</si>
  <si>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</si>
  <si>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</si>
  <si>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</si>
  <si>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</si>
  <si>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</si>
  <si>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</si>
  <si>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</si>
  <si>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</si>
  <si>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</si>
  <si>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</si>
  <si>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</si>
  <si>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</si>
  <si>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</si>
  <si>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</si>
  <si>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</si>
  <si>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</si>
  <si>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</si>
  <si>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</si>
  <si>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</si>
  <si>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</si>
  <si>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</si>
  <si>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</si>
  <si>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</si>
  <si>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</si>
  <si>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</si>
  <si>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</si>
  <si>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</si>
  <si>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</si>
  <si>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</si>
  <si>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</si>
  <si>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</si>
  <si>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</si>
  <si>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</si>
  <si>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</si>
  <si>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</si>
  <si>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</si>
  <si>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</si>
  <si>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</si>
  <si>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</si>
  <si>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</si>
  <si>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</si>
  <si>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</si>
  <si>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</si>
  <si>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</si>
  <si>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</si>
  <si>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</si>
  <si>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</si>
  <si>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</si>
  <si>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</si>
  <si>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</si>
  <si>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</si>
  <si>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</si>
  <si>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</si>
  <si>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</si>
  <si>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</si>
  <si>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</si>
  <si>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</si>
  <si>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</si>
  <si>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</si>
  <si>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</si>
  <si>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</si>
  <si>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</si>
  <si>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</si>
  <si>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</si>
  <si>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</si>
  <si>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</si>
  <si>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</si>
  <si>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</si>
  <si>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</si>
  <si>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</si>
  <si>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</si>
  <si>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</si>
  <si>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</si>
  <si>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</si>
  <si>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</si>
  <si>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</si>
  <si>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</si>
  <si>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</si>
  <si>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</si>
  <si>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</si>
  <si>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</si>
  <si>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</si>
  <si>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</si>
  <si>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</si>
  <si>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</si>
  <si>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</si>
  <si>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</si>
  <si>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</si>
  <si>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</si>
  <si>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</si>
  <si>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</si>
  <si>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</si>
  <si>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</si>
  <si>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</si>
  <si>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</si>
  <si>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</si>
  <si>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</si>
  <si>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</si>
  <si>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</si>
  <si>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</si>
  <si>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</si>
  <si>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</si>
  <si>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</si>
  <si>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</si>
  <si>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</si>
  <si>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</si>
  <si>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</si>
  <si>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</si>
  <si>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</si>
  <si>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</si>
  <si>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</si>
  <si>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</si>
  <si>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</si>
  <si>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</si>
  <si>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</si>
  <si>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</si>
  <si>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</si>
  <si>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</si>
  <si>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</si>
  <si>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</si>
  <si>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</si>
  <si>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</si>
  <si>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</si>
  <si>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</si>
  <si>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</si>
  <si>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</si>
  <si>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</si>
  <si>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</si>
  <si>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</si>
  <si>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</si>
  <si>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</si>
  <si>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</si>
  <si>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</si>
  <si>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</si>
  <si>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</si>
  <si>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</si>
  <si>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</si>
  <si>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</si>
  <si>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</si>
  <si>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</si>
  <si>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</si>
  <si>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</si>
  <si>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</si>
  <si>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</si>
  <si>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</si>
  <si>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</si>
  <si>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</si>
  <si>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</si>
  <si>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</si>
  <si>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</si>
  <si>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</si>
  <si>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</si>
  <si>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</si>
  <si>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</si>
  <si>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</si>
  <si>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</si>
  <si>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</si>
  <si>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</si>
  <si>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</si>
  <si>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</si>
  <si>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</si>
  <si>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</si>
  <si>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</si>
  <si>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</si>
  <si>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</si>
  <si>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</si>
  <si>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</si>
  <si>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</si>
  <si>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</si>
  <si>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</si>
  <si>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</si>
  <si>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</si>
  <si>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</si>
  <si>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</si>
  <si>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</si>
  <si>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</si>
  <si>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</si>
  <si>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</si>
  <si>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</si>
  <si>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</si>
  <si>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</si>
  <si>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</si>
  <si>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</si>
  <si>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</si>
  <si>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</si>
  <si>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</si>
  <si>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</si>
  <si>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</si>
  <si>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</si>
  <si>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</si>
  <si>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</si>
  <si>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</si>
  <si>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</si>
  <si>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</si>
  <si>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</si>
  <si>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</si>
  <si>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</si>
  <si>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</si>
  <si>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</si>
  <si>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</si>
  <si>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</si>
  <si>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</si>
  <si>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</si>
  <si>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</si>
  <si>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</si>
  <si>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</si>
  <si>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</si>
  <si>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</si>
  <si>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</si>
  <si>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</si>
  <si>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</si>
  <si>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</si>
  <si>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</si>
  <si>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</si>
  <si>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</si>
  <si>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</si>
  <si>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</si>
  <si>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</si>
  <si>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</si>
  <si>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</si>
  <si>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</si>
  <si>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</si>
  <si>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</si>
  <si>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</si>
  <si>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</si>
  <si>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</si>
  <si>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</si>
  <si>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</si>
  <si>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</si>
  <si>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</si>
  <si>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</si>
  <si>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</si>
  <si>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</si>
  <si>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</si>
  <si>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</si>
  <si>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</si>
  <si>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</si>
  <si>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</si>
  <si>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</si>
  <si>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</si>
  <si>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</si>
  <si>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</si>
  <si>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</si>
  <si>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</si>
  <si>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</si>
  <si>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</si>
  <si>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</si>
  <si>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</si>
  <si>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</si>
  <si>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</si>
  <si>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</si>
  <si>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</si>
  <si>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</si>
  <si>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</si>
  <si>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</si>
  <si>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</si>
  <si>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</si>
  <si>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</si>
  <si>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</si>
  <si>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</si>
  <si>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</si>
  <si>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</si>
  <si>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</si>
  <si>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</si>
  <si>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</si>
  <si>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</si>
  <si>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</si>
  <si>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</si>
  <si>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</si>
  <si>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</si>
  <si>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</si>
  <si>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</si>
  <si>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</si>
  <si>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</si>
  <si>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</si>
  <si>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</si>
  <si>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</si>
  <si>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</si>
  <si>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</si>
  <si>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</si>
  <si>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</si>
  <si>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</si>
  <si>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</si>
  <si>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</si>
  <si>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</si>
  <si>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</si>
  <si>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</si>
  <si>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</si>
  <si>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</si>
  <si>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</si>
  <si>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</si>
  <si>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</si>
  <si>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</si>
  <si>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</si>
  <si>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</si>
  <si>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</si>
  <si>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</si>
  <si>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</si>
  <si>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</si>
  <si>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</si>
  <si>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</si>
  <si>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</si>
  <si>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</si>
  <si>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</si>
  <si>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</si>
  <si>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</si>
  <si>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</si>
  <si>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</si>
  <si>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</si>
  <si>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</si>
  <si>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</si>
  <si>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</si>
  <si>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</si>
  <si>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</si>
  <si>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</si>
  <si>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</si>
  <si>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</si>
  <si>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</si>
  <si>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</si>
  <si>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</si>
  <si>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</si>
  <si>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</si>
  <si>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</si>
  <si>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</si>
  <si>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</si>
  <si>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</si>
  <si>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</si>
  <si>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</si>
  <si>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</si>
  <si>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</si>
  <si>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</si>
  <si>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</si>
  <si>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</si>
  <si>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</si>
  <si>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</si>
  <si>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</si>
  <si>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</si>
  <si>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</si>
  <si>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</si>
  <si>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</si>
  <si>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</si>
  <si>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</si>
  <si>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</si>
  <si>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</si>
  <si>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</si>
  <si>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</si>
  <si>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</si>
  <si>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</si>
  <si>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</si>
  <si>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</si>
  <si>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</si>
  <si>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</si>
  <si>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</si>
  <si>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</si>
  <si>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</si>
  <si>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</si>
  <si>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</si>
  <si>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</si>
  <si>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</si>
  <si>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</si>
  <si>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</si>
  <si>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</si>
  <si>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</si>
  <si>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</si>
  <si>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</si>
  <si>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</si>
  <si>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</si>
  <si>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</si>
  <si>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</si>
  <si>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</si>
  <si>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</si>
  <si>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</si>
  <si>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</si>
  <si>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</si>
  <si>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</si>
  <si>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</si>
  <si>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</si>
  <si>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</si>
  <si>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</si>
  <si>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</si>
  <si>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</si>
  <si>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</si>
  <si>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</si>
  <si>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</si>
  <si>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</si>
  <si>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</si>
  <si>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</si>
  <si>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</si>
  <si>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</si>
  <si>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</si>
  <si>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</si>
  <si>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</si>
  <si>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</si>
  <si>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</si>
  <si>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</si>
  <si>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</si>
  <si>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</si>
  <si>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</si>
  <si>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</si>
  <si>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</si>
  <si>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</si>
  <si>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</si>
  <si>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</si>
  <si>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</si>
  <si>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</si>
  <si>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</si>
  <si>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</si>
  <si>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</si>
  <si>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</si>
  <si>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</si>
  <si>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</si>
  <si>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</si>
  <si>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</si>
  <si>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</si>
  <si>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</si>
  <si>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</si>
  <si>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</si>
  <si>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</si>
  <si>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</si>
  <si>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</si>
  <si>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</si>
  <si>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</si>
  <si>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</si>
  <si>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</si>
  <si>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</si>
  <si>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</si>
  <si>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</si>
  <si>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</si>
  <si>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</si>
  <si>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</si>
  <si>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</si>
  <si>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</si>
  <si>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</si>
  <si>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</si>
  <si>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</si>
  <si>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</si>
  <si>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</si>
  <si>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</si>
  <si>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</si>
  <si>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</si>
  <si>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</si>
  <si>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</si>
  <si>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</si>
  <si>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</si>
  <si>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</si>
  <si>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</si>
  <si>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</si>
  <si>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</si>
  <si>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</si>
  <si>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</si>
  <si>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</si>
  <si>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</si>
  <si>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</si>
  <si>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</si>
  <si>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</si>
  <si>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</si>
  <si>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</si>
  <si>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</si>
  <si>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</si>
  <si>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</si>
  <si>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</si>
  <si>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</si>
  <si>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</si>
  <si>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</si>
  <si>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</si>
  <si>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</si>
  <si>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</si>
  <si>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</si>
  <si>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</si>
  <si>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</si>
  <si>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</si>
  <si>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</si>
  <si>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</si>
  <si>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</si>
  <si>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</si>
  <si>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</si>
  <si>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</si>
  <si>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</si>
  <si>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</si>
  <si>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</si>
  <si>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</si>
  <si>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</si>
  <si>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</si>
  <si>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</si>
  <si>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</si>
  <si>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</si>
  <si>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</si>
  <si>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</si>
  <si>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</si>
  <si>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</si>
  <si>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</si>
  <si>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</si>
  <si>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</si>
  <si>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</si>
  <si>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</si>
  <si>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</si>
  <si>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</si>
  <si>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</si>
  <si>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</si>
  <si>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</si>
  <si>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</si>
  <si>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</si>
  <si>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</si>
  <si>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</si>
  <si>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</si>
  <si>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</si>
  <si>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</si>
  <si>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</si>
  <si>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</si>
  <si>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</si>
  <si>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</si>
  <si>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</si>
  <si>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</si>
  <si>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</si>
  <si>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</si>
  <si>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</si>
  <si>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</si>
  <si>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</si>
  <si>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</si>
  <si>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</si>
  <si>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</si>
  <si>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</si>
  <si>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</si>
  <si>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</si>
  <si>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</si>
  <si>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</si>
  <si>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</si>
  <si>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</si>
  <si>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</si>
  <si>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</si>
  <si>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</si>
  <si>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</si>
  <si>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</si>
  <si>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</si>
  <si>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</si>
  <si>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</si>
  <si>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</si>
  <si>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</si>
  <si>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</si>
  <si>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</si>
  <si>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</si>
  <si>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</si>
  <si>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</si>
  <si>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</si>
  <si>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</si>
  <si>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</si>
  <si>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</si>
  <si>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</si>
  <si>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</si>
  <si>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</si>
  <si>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</si>
  <si>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</si>
  <si>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</si>
  <si>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</si>
  <si>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</si>
  <si>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</si>
  <si>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</si>
  <si>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</si>
  <si>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</si>
  <si>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</si>
  <si>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</si>
  <si>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</si>
  <si>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</si>
  <si>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</si>
  <si>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</si>
  <si>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</si>
  <si>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</si>
  <si>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</si>
  <si>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</si>
  <si>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</si>
  <si>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</si>
  <si>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</si>
  <si>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</si>
  <si>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</si>
  <si>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</si>
  <si>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</si>
  <si>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</si>
  <si>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</si>
  <si>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</si>
  <si>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</si>
  <si>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</si>
  <si>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</si>
  <si>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</si>
  <si>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</si>
  <si>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</si>
  <si>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</si>
  <si>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</si>
  <si>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</si>
  <si>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</si>
  <si>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</si>
  <si>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</si>
  <si>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</si>
  <si>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</si>
  <si>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</si>
  <si>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</si>
  <si>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</si>
  <si>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</si>
  <si>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</si>
  <si>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</si>
  <si>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Antioch Hillcrest</t>
  </si>
  <si>
    <t>Hillcrest Avenue Tract 5494, Lot 56</t>
  </si>
  <si>
    <t xml:space="preserve">West of Hillcrest Avenue, South of Shaddick Drive, and East of Harris Drive </t>
  </si>
  <si>
    <t>Antioch</t>
  </si>
  <si>
    <t>052-100-068; 052-100-069</t>
  </si>
  <si>
    <t>40%/60%</t>
  </si>
  <si>
    <t>Secured by Leasehold Interest</t>
  </si>
  <si>
    <t>Cypress Equity Investments LLC</t>
  </si>
  <si>
    <t>City of Antioch</t>
  </si>
  <si>
    <t>Managing GP</t>
  </si>
  <si>
    <t>WinnResidential California LP</t>
  </si>
  <si>
    <t>2499 W. Shaw Avenue, Suite 103</t>
  </si>
  <si>
    <t>Fresno, CA 93711</t>
  </si>
  <si>
    <t>Oke Johnson</t>
  </si>
  <si>
    <t>559.489.9930</t>
  </si>
  <si>
    <t>okejohnson@winnco.com</t>
  </si>
  <si>
    <t>California Municipal Finance Authority</t>
  </si>
  <si>
    <t>2111 Palomar Airport Rd, Suite 320</t>
  </si>
  <si>
    <t>Carlsbad, CA 92011</t>
  </si>
  <si>
    <t>Anthony Stubbs</t>
  </si>
  <si>
    <t>760.930.1333</t>
  </si>
  <si>
    <t>astubbs@cmfa-ca.com</t>
  </si>
  <si>
    <t>Collective Operations Architecture, Inc.</t>
  </si>
  <si>
    <t>2106 Union St</t>
  </si>
  <si>
    <t>San Francisco, CA 94123</t>
  </si>
  <si>
    <t>Weijia Song</t>
  </si>
  <si>
    <t>628.294.4262</t>
  </si>
  <si>
    <t>wsong@co-operations.org</t>
  </si>
  <si>
    <t>Rubin Brown LLP</t>
  </si>
  <si>
    <t>225 West Wacker Drive, Suite 1700</t>
  </si>
  <si>
    <t>Chicago, IL 60606</t>
  </si>
  <si>
    <t>Inner City Infill Site</t>
  </si>
  <si>
    <t>12121 Wilshire Blvd, Suite 801</t>
  </si>
  <si>
    <t>CA</t>
  </si>
  <si>
    <t>Kim Borja</t>
  </si>
  <si>
    <t>253.228.7889</t>
  </si>
  <si>
    <t>kim@cypressequity.com</t>
  </si>
  <si>
    <t>Administrative GP</t>
  </si>
  <si>
    <t>Pacific Housing, Inc.</t>
  </si>
  <si>
    <t>2115 J St Ste 201</t>
  </si>
  <si>
    <t>Mat Eland</t>
  </si>
  <si>
    <t xml:space="preserve">(916) 638-5200 </t>
  </si>
  <si>
    <t>meland@pacifichousing.org</t>
  </si>
  <si>
    <t>Developer</t>
  </si>
  <si>
    <t>Los Angeles, CA 90025</t>
  </si>
  <si>
    <t>Bocarsly Emden Cowan Esmail &amp; Arndt LLP</t>
  </si>
  <si>
    <t>633 W Fifth St, 70th floor</t>
  </si>
  <si>
    <t>Los Angeles, CA 90071</t>
  </si>
  <si>
    <t>Kyle Arndt</t>
  </si>
  <si>
    <t>(213) 239-8000</t>
  </si>
  <si>
    <t>karndt@bocarsly.com</t>
  </si>
  <si>
    <t>TBD</t>
  </si>
  <si>
    <t>Redwood Energy</t>
  </si>
  <si>
    <t>Michael Winkler</t>
  </si>
  <si>
    <t>Kinetic  Valuation Group, Inc.</t>
  </si>
  <si>
    <t>3901 S 147th Street, Suite 144</t>
  </si>
  <si>
    <t>Omaha, NE 68144</t>
  </si>
  <si>
    <t>Amanda Baker, MAI</t>
  </si>
  <si>
    <t>(402) 305-1693</t>
  </si>
  <si>
    <t>amanda@kvgteam.com</t>
  </si>
  <si>
    <t>Safehold, Inc.</t>
  </si>
  <si>
    <t>Hillcrest Antioch LP</t>
  </si>
  <si>
    <t>Neighborhood Community Commercial</t>
  </si>
  <si>
    <t>LCA Architects Inc.</t>
  </si>
  <si>
    <t>Carl Campos</t>
  </si>
  <si>
    <t>(925) 944-1626</t>
  </si>
  <si>
    <t>marketing@lca-architects.com</t>
  </si>
  <si>
    <t>590 Ygnacio Valley Road, Suite 310</t>
  </si>
  <si>
    <t>Walnut Creek, CA 94596</t>
  </si>
  <si>
    <t>Maureen M. Reichert, CPA, MBA, CGMA</t>
  </si>
  <si>
    <t>314.290.3468</t>
  </si>
  <si>
    <t>maureen.reichert@rubinbrown.com</t>
  </si>
  <si>
    <t>Iris Lane Development LLC</t>
  </si>
  <si>
    <t>Teri House</t>
  </si>
  <si>
    <t>CDBG/Housing Consultant</t>
  </si>
  <si>
    <t>200 H Street, 2nd Floor</t>
  </si>
  <si>
    <t>925-779-7037</t>
  </si>
  <si>
    <t>925-779-7034</t>
  </si>
  <si>
    <t>CDB@ci.antioch.ca.us</t>
  </si>
  <si>
    <t>45 ft</t>
  </si>
  <si>
    <t>No requirement, within 1/2 mile of major transit per AB 2097</t>
  </si>
  <si>
    <t>Variable</t>
  </si>
  <si>
    <t>Lease Up Income During Construction</t>
  </si>
  <si>
    <t>Costs Deferred to Conversion</t>
  </si>
  <si>
    <t>Above residual receipts line for cash flow</t>
  </si>
  <si>
    <t>Commercial Infill Housing Overlay; 35 units/acre</t>
  </si>
  <si>
    <t>Hillcrest Antioch Investor LLC</t>
  </si>
  <si>
    <t>Other: Owners Hard Cost</t>
  </si>
  <si>
    <t>Other: Utility Work</t>
  </si>
  <si>
    <t>Other: Loan Closing Costs</t>
  </si>
  <si>
    <t>Other: Bond Underwriting Fees</t>
  </si>
  <si>
    <t>Other: Security During Construction</t>
  </si>
  <si>
    <t>Other: Owner Legal</t>
  </si>
  <si>
    <t>Other: Lender Monthly Draw Fees</t>
  </si>
  <si>
    <t>Nonprofit Managing General Partner Fee</t>
  </si>
  <si>
    <t>Kimberly Borja</t>
  </si>
  <si>
    <t>SVP, Capital Markets</t>
  </si>
  <si>
    <t>20th</t>
  </si>
  <si>
    <t>May</t>
  </si>
  <si>
    <t>Other: Original Acquisition Legal</t>
  </si>
  <si>
    <t>Berkadia</t>
  </si>
  <si>
    <t>Employee Benefits &amp; Taxes</t>
  </si>
  <si>
    <t>Fire Life Safety</t>
  </si>
  <si>
    <t>Franchise Tax Board Fees</t>
  </si>
  <si>
    <t>Office Supplies and Equipment/Technology Leases</t>
  </si>
  <si>
    <t>Staff Unit Rent Credit</t>
  </si>
  <si>
    <t>Other Operating Expenses (staff rent credit and FTB fees):</t>
  </si>
  <si>
    <t>NOI During Construction</t>
  </si>
  <si>
    <t>General Partner Equity</t>
  </si>
  <si>
    <t>Provided</t>
  </si>
  <si>
    <t>Not Applicable</t>
  </si>
  <si>
    <t>1114 Avenue of the Americas</t>
  </si>
  <si>
    <t>New York</t>
  </si>
  <si>
    <t>Steve Wylder</t>
  </si>
  <si>
    <t>310.315.5566</t>
  </si>
  <si>
    <t>Improvement Allowance</t>
  </si>
  <si>
    <t>1090 12th Street</t>
  </si>
  <si>
    <t>Arcata, CA 95521</t>
  </si>
  <si>
    <t>(707) 822-1857</t>
  </si>
  <si>
    <t>mlwinkle@yahoo.com</t>
  </si>
  <si>
    <t>Cypress Equity Guarantor LLC</t>
  </si>
  <si>
    <t>Tim Leonhard</t>
  </si>
  <si>
    <t>504-458-1626</t>
  </si>
  <si>
    <t>SOFR</t>
  </si>
  <si>
    <t>5960 Berkshire Lane, Suite 1000</t>
  </si>
  <si>
    <t>Dallas</t>
  </si>
  <si>
    <t>Tax Exempt bonds (new issue)</t>
  </si>
  <si>
    <t>Tax Exempt bonds (recycled)</t>
  </si>
  <si>
    <t>Taxable Tail</t>
  </si>
  <si>
    <t>Conventional Permanent Loan</t>
  </si>
  <si>
    <t>Ted Liu</t>
  </si>
  <si>
    <t xml:space="preserve"> Managing Member</t>
  </si>
  <si>
    <t xml:space="preserve">5775 La Jolla Mesa Dr La Jolla, CA 92037 </t>
  </si>
  <si>
    <t>James Grande</t>
  </si>
  <si>
    <t>215.328.3826</t>
  </si>
  <si>
    <t>Tax Credit Equity</t>
  </si>
  <si>
    <t>Philadelphia</t>
  </si>
  <si>
    <t>50 S. 16th Street, Suite 2825</t>
  </si>
  <si>
    <t>Philadelphia, PA, 19102</t>
  </si>
  <si>
    <t>jgrande@berkadia.com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</si>
</sst>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21" fillId="0" borderId="0" xfId="0"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5" borderId="6" xfId="0" applyFill="1" applyBorder="1" applyAlignment="1" applyProtection="1">
      <alignment horizontal="left" wrapText="1"/>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3" fontId="16"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2604</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2603</v>
      </c>
      <c r="E18" s="441"/>
      <c r="G18" s="441"/>
      <c r="H18" s="441"/>
      <c r="I18" s="441"/>
      <c r="J18" s="1265" t="s">
        <v>2602</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2036</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2037</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2518</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2141</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2044</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2045</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1163</v>
      </c>
    </row>
    <row r="41" spans="1:38" s="1263"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3" t="s">
        <v>2039</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2" workbookViewId="0">
      <selection activeCell="I9" sqref="G9:I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1584</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48687436</v>
      </c>
      <c r="I3" s="1105"/>
    </row>
    <row r="4" spans="1:13" s="1051" customFormat="1" ht="20.100000000000001" customHeight="1">
      <c r="B4" s="1094"/>
      <c r="D4" s="1108"/>
      <c r="F4" s="1092" t="s">
        <v>1991</v>
      </c>
      <c r="G4" s="1091" t="s">
        <v>1990</v>
      </c>
      <c r="H4" s="1093">
        <f>I18</f>
        <v>34027040.810866013</v>
      </c>
      <c r="I4" s="1095"/>
      <c r="K4" s="1055"/>
    </row>
    <row r="5" spans="1:13" s="1051" customFormat="1" ht="20.100000000000001" customHeight="1" thickBot="1">
      <c r="B5" s="1096"/>
      <c r="C5" s="1097"/>
      <c r="D5" s="1109"/>
      <c r="E5" s="1098"/>
      <c r="F5" s="1109" t="s">
        <v>1941</v>
      </c>
      <c r="G5" s="1110"/>
      <c r="H5" s="1106">
        <f>IFERROR(H3/H4,0)</f>
        <v>1.4308454346830071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1939</v>
      </c>
      <c r="C8" s="2663"/>
      <c r="D8" s="2663"/>
      <c r="E8" s="2664"/>
      <c r="G8" s="2665" t="s">
        <v>1940</v>
      </c>
      <c r="H8" s="2666"/>
      <c r="I8" s="2667"/>
      <c r="K8" s="1057"/>
    </row>
    <row r="9" spans="1:13" ht="15" customHeight="1">
      <c r="A9" s="1046"/>
      <c r="B9" s="2660" t="s">
        <v>1973</v>
      </c>
      <c r="C9" s="2660"/>
      <c r="D9" s="2660"/>
      <c r="E9" s="1059">
        <f>G33</f>
        <v>10000000</v>
      </c>
      <c r="G9" s="2668" t="s">
        <v>1971</v>
      </c>
      <c r="H9" s="2668"/>
      <c r="I9" s="1060">
        <f>SUMIF(Application!M554:M565,"Loan, Tax-Exempt",Application!AM554:AM565)</f>
        <v>37236565</v>
      </c>
      <c r="K9" s="1061"/>
      <c r="M9" s="1062"/>
    </row>
    <row r="10" spans="1:13" ht="15" customHeight="1" thickBot="1">
      <c r="A10" s="1046"/>
      <c r="B10" s="2660" t="s">
        <v>1974</v>
      </c>
      <c r="C10" s="2660"/>
      <c r="D10" s="2660"/>
      <c r="E10" s="1060">
        <f>G47</f>
        <v>23747436.000000004</v>
      </c>
      <c r="G10" s="2672" t="s">
        <v>1942</v>
      </c>
      <c r="H10" s="2672"/>
      <c r="I10" s="1140">
        <f>'Basis &amp; Credits'!AB78</f>
        <v>0</v>
      </c>
      <c r="M10" s="1062"/>
    </row>
    <row r="11" spans="1:13" ht="15" customHeight="1">
      <c r="A11" s="1046"/>
      <c r="B11" s="2676" t="s">
        <v>2263</v>
      </c>
      <c r="C11" s="2677"/>
      <c r="D11" s="2678"/>
      <c r="E11" s="1060">
        <f>SUM(E12,E13)</f>
        <v>340000</v>
      </c>
      <c r="G11" s="2675" t="s">
        <v>1982</v>
      </c>
      <c r="H11" s="2675"/>
      <c r="I11" s="1139">
        <f>I9+I10</f>
        <v>37236565</v>
      </c>
      <c r="M11" s="1062"/>
    </row>
    <row r="12" spans="1:13" ht="15" customHeight="1">
      <c r="A12" s="1063"/>
      <c r="B12" s="2661" t="s">
        <v>2265</v>
      </c>
      <c r="C12" s="2661"/>
      <c r="D12" s="2661"/>
      <c r="E12" s="1165">
        <f>G56</f>
        <v>0</v>
      </c>
      <c r="M12" s="1062"/>
    </row>
    <row r="13" spans="1:13" ht="15" customHeight="1">
      <c r="A13" s="1049"/>
      <c r="B13" s="2661" t="s">
        <v>2266</v>
      </c>
      <c r="C13" s="2661"/>
      <c r="D13" s="2661"/>
      <c r="E13" s="1165">
        <f>G65</f>
        <v>340000</v>
      </c>
      <c r="G13" s="2665" t="s">
        <v>2005</v>
      </c>
      <c r="H13" s="2666"/>
      <c r="I13" s="2667"/>
      <c r="M13" s="1062"/>
    </row>
    <row r="14" spans="1:13" ht="15" customHeight="1">
      <c r="A14" s="1049"/>
      <c r="B14" s="2676" t="s">
        <v>2264</v>
      </c>
      <c r="C14" s="2677"/>
      <c r="D14" s="2678"/>
      <c r="E14" s="1167">
        <f>MAX(E15,E16)+E17</f>
        <v>14600000</v>
      </c>
      <c r="G14" s="2668" t="s">
        <v>139</v>
      </c>
      <c r="H14" s="2668"/>
      <c r="I14" s="1064">
        <f>15%*(AND(G120="Yes",G122&lt;&gt;""))</f>
        <v>0</v>
      </c>
      <c r="M14" s="1062"/>
    </row>
    <row r="15" spans="1:13" ht="15" customHeight="1">
      <c r="A15" s="1049"/>
      <c r="B15" s="2679" t="s">
        <v>2270</v>
      </c>
      <c r="C15" s="2680"/>
      <c r="D15" s="2681"/>
      <c r="E15" s="1165">
        <f>G80</f>
        <v>0</v>
      </c>
      <c r="G15" s="1137" t="s">
        <v>1983</v>
      </c>
      <c r="H15" s="1137"/>
      <c r="I15" s="1064">
        <f>IF(Application!AJ1032&gt;0,10%,IF(Application!AJ1036&gt;0,5%,0))</f>
        <v>0</v>
      </c>
      <c r="M15" s="1062"/>
    </row>
    <row r="16" spans="1:13" ht="15" customHeight="1">
      <c r="A16" s="1049"/>
      <c r="B16" s="2679" t="s">
        <v>2269</v>
      </c>
      <c r="C16" s="2680"/>
      <c r="D16" s="2681"/>
      <c r="E16" s="1165">
        <f>G90</f>
        <v>0</v>
      </c>
      <c r="G16" s="2668" t="s">
        <v>1984</v>
      </c>
      <c r="H16" s="2668"/>
      <c r="I16" s="1064">
        <f>G132</f>
        <v>8.6192810457516339E-2</v>
      </c>
    </row>
    <row r="17" spans="1:21" ht="15" customHeight="1" thickBot="1">
      <c r="A17" s="1049"/>
      <c r="B17" s="2679" t="s">
        <v>2268</v>
      </c>
      <c r="C17" s="2680"/>
      <c r="D17" s="2681"/>
      <c r="E17" s="1165">
        <f>G115</f>
        <v>14600000</v>
      </c>
      <c r="G17" s="2668" t="s">
        <v>2278</v>
      </c>
      <c r="H17" s="2668"/>
      <c r="I17" s="1064">
        <f>IF(AND(G139="Yes",OR(G136,G137)),IF(G143&gt;15%,15%,G143),0)</f>
        <v>0</v>
      </c>
    </row>
    <row r="18" spans="1:21" ht="15" customHeight="1">
      <c r="A18" s="1046"/>
      <c r="B18" s="2671" t="s">
        <v>1938</v>
      </c>
      <c r="C18" s="2671"/>
      <c r="D18" s="2671"/>
      <c r="E18" s="1111">
        <f>SUM(E9:E11,E14)</f>
        <v>48687436</v>
      </c>
      <c r="G18" s="1138" t="s">
        <v>1972</v>
      </c>
      <c r="H18" s="1138"/>
      <c r="I18" s="1112">
        <f>I11-((I11*I14)+(I11*I15)+(I11*I16)+(I11*I17))</f>
        <v>34027040.810866013</v>
      </c>
      <c r="M18" s="1065">
        <f>SUM(Cdlac[Quantity])</f>
        <v>163</v>
      </c>
      <c r="O18" s="1084" t="s">
        <v>582</v>
      </c>
      <c r="P18" s="1044">
        <f>MATCH(Application!T189,Application!CB160:CB217,0)</f>
        <v>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7</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1078.8</v>
      </c>
      <c r="Q21" s="1164"/>
      <c r="R21" s="1065" cm="1">
        <f t="array" ref="R21">IF(Cdlac[[#This Row],[Quantity]]&gt;0,INDEX(HudFmrs,$P$18,Cdlac[[#This Row],[Bedrooms]]+1),"")</f>
        <v>2682</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1986</v>
      </c>
      <c r="D22" s="2669" t="s">
        <v>1987</v>
      </c>
      <c r="E22" s="2669" t="s">
        <v>1988</v>
      </c>
      <c r="F22" s="2669" t="s">
        <v>2609</v>
      </c>
      <c r="G22" s="2669" t="s">
        <v>1985</v>
      </c>
      <c r="H22" s="1070"/>
      <c r="I22" s="1069"/>
      <c r="L22" s="1044">
        <f>IFERROR(MIN(4,MATCH(Application!B720,UnitSizes,0)-1),"")</f>
        <v>3</v>
      </c>
      <c r="M22" s="1065">
        <f>Application!G720</f>
        <v>5</v>
      </c>
      <c r="N22" s="1071">
        <f>Application!AC720</f>
        <v>0.3</v>
      </c>
      <c r="O22" s="1071">
        <f>IF(Cdlac[[#This Row],[Quantity]]&gt;0,IF(Cdlac[[#This Row],[Federal]],30%,IF(AND(OR(NOT($G$38),$G$38=""),$G$43),40%,Cdlac[[#This Row],[iAMI]])),"")</f>
        <v>0.3</v>
      </c>
      <c r="P22" s="1065" cm="1">
        <f t="array" ref="P22">IF(Cdlac[[#This Row],[Quantity]]&gt;0,INDEX(TcacRents,$P$18,Cdlac[[#This Row],[Bedrooms]]+1)*Cdlac[[#This Row],[AMI]],"")</f>
        <v>1246.2</v>
      </c>
      <c r="Q22" s="1164"/>
      <c r="R22" s="1065" cm="1">
        <f t="array" ref="R22">IF(Cdlac[[#This Row],[Quantity]]&gt;0,INDEX(HudFmrs,$P$18,Cdlac[[#This Row],[Bedrooms]]+1),"")</f>
        <v>3432</v>
      </c>
      <c r="S22" s="1065">
        <f>IF(Cdlac[[#This Row],[Quantity]]&gt;0,MAX(0,Cdlac[[#This Row],[Fair Market Rent]]-IF(AND($G$37,$G$38,$G$38&lt;&gt;"",NOT(Cdlac[[#This Row],[Federal]]),Cdlac[[#This Row],[Preservation Rent]]&lt;&gt;""),Cdlac[[#This Row],[Preservation Rent]],Cdlac[[#This Row],[Restricted Rent]])),"")</f>
        <v>2185.8000000000002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15</v>
      </c>
      <c r="N23" s="1071">
        <f>Application!AC721</f>
        <v>0.5</v>
      </c>
      <c r="O23" s="1071">
        <f>IF(Cdlac[[#This Row],[Quantity]]&gt;0,IF(Cdlac[[#This Row],[Federal]],30%,IF(AND(OR(NOT($G$38),$G$38=""),$G$43),40%,Cdlac[[#This Row],[iAMI]])),"")</f>
        <v>0.5</v>
      </c>
      <c r="P23" s="1065" cm="1">
        <f t="array" ref="P23">IF(Cdlac[[#This Row],[Quantity]]&gt;0,INDEX(TcacRents,$P$18,Cdlac[[#This Row],[Bedrooms]]+1)*Cdlac[[#This Row],[AMI]],"")</f>
        <v>1498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703</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13</v>
      </c>
      <c r="N24" s="1071">
        <f>Application!AC722</f>
        <v>0.5</v>
      </c>
      <c r="O24" s="1071">
        <f>IF(Cdlac[[#This Row],[Quantity]]&gt;0,IF(Cdlac[[#This Row],[Federal]],30%,IF(AND(OR(NOT($G$38),$G$38=""),$G$43),40%,Cdlac[[#This Row],[iAMI]])),"")</f>
        <v>0.5</v>
      </c>
      <c r="P24" s="1065" cm="1">
        <f t="array" ref="P24">IF(Cdlac[[#This Row],[Quantity]]&gt;0,INDEX(TcacRents,$P$18,Cdlac[[#This Row],[Bedrooms]]+1)*Cdlac[[#This Row],[AMI]],"")</f>
        <v>1798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884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63</v>
      </c>
      <c r="F25" s="1072">
        <f>E25</f>
        <v>63</v>
      </c>
      <c r="G25" s="1072">
        <f>D25*F25</f>
        <v>63</v>
      </c>
      <c r="L25" s="1044">
        <f>IFERROR(MIN(4,MATCH(Application!B723,UnitSizes,0)-1),"")</f>
        <v>3</v>
      </c>
      <c r="M25" s="1065">
        <f>Application!G723</f>
        <v>13</v>
      </c>
      <c r="N25" s="1071">
        <f>Application!AC723</f>
        <v>0.5</v>
      </c>
      <c r="O25" s="1071">
        <f>IF(Cdlac[[#This Row],[Quantity]]&gt;0,IF(Cdlac[[#This Row],[Federal]],30%,IF(AND(OR(NOT($G$38),$G$38=""),$G$43),40%,Cdlac[[#This Row],[iAMI]])),"")</f>
        <v>0.5</v>
      </c>
      <c r="P25" s="1065" cm="1">
        <f t="array" ref="P25">IF(Cdlac[[#This Row],[Quantity]]&gt;0,INDEX(TcacRents,$P$18,Cdlac[[#This Row],[Bedrooms]]+1)*Cdlac[[#This Row],[AMI]],"")</f>
        <v>2077</v>
      </c>
      <c r="Q25" s="1164"/>
      <c r="R25" s="1065" cm="1">
        <f t="array" ref="R25">IF(Cdlac[[#This Row],[Quantity]]&gt;0,INDEX(HudFmrs,$P$18,Cdlac[[#This Row],[Bedrooms]]+1),"")</f>
        <v>3432</v>
      </c>
      <c r="S25" s="1065">
        <f>IF(Cdlac[[#This Row],[Quantity]]&gt;0,MAX(0,Cdlac[[#This Row],[Fair Market Rent]]-IF(AND($G$37,$G$38,$G$38&lt;&gt;"",NOT(Cdlac[[#This Row],[Federal]]),Cdlac[[#This Row],[Preservation Rent]]&lt;&gt;""),Cdlac[[#This Row],[Preservation Rent]],Cdlac[[#This Row],[Restricted Rent]])),"")</f>
        <v>1355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48</v>
      </c>
      <c r="F26" s="1075">
        <f>SUM(E26:E28)-SUM(F27:F28)</f>
        <v>52</v>
      </c>
      <c r="G26" s="1072">
        <f>D26*F26</f>
        <v>65</v>
      </c>
      <c r="H26" s="1074"/>
      <c r="I26" s="1074"/>
      <c r="L26" s="1044">
        <f>IFERROR(MIN(4,MATCH(Application!B724,UnitSizes,0)-1),"")</f>
        <v>1</v>
      </c>
      <c r="M26" s="1065">
        <f>Application!G724</f>
        <v>41</v>
      </c>
      <c r="N26" s="1071">
        <f>Application!AC724</f>
        <v>0.6</v>
      </c>
      <c r="O26" s="1071">
        <f>IF(Cdlac[[#This Row],[Quantity]]&gt;0,IF(Cdlac[[#This Row],[Federal]],30%,IF(AND(OR(NOT($G$38),$G$38=""),$G$43),40%,Cdlac[[#This Row],[iAMI]])),"")</f>
        <v>0.6</v>
      </c>
      <c r="P26" s="1065" cm="1">
        <f t="array" ref="P26">IF(Cdlac[[#This Row],[Quantity]]&gt;0,INDEX(TcacRents,$P$18,Cdlac[[#This Row],[Bedrooms]]+1)*Cdlac[[#This Row],[AMI]],"")</f>
        <v>1797.6</v>
      </c>
      <c r="Q26" s="1164"/>
      <c r="R26" s="1065" cm="1">
        <f t="array" ref="R26">IF(Cdlac[[#This Row],[Quantity]]&gt;0,INDEX(HudFmrs,$P$18,Cdlac[[#This Row],[Bedrooms]]+1),"")</f>
        <v>2201</v>
      </c>
      <c r="S26" s="1065">
        <f>IF(Cdlac[[#This Row],[Quantity]]&gt;0,MAX(0,Cdlac[[#This Row],[Fair Market Rent]]-IF(AND($G$37,$G$38,$G$38&lt;&gt;"",NOT(Cdlac[[#This Row],[Federal]]),Cdlac[[#This Row],[Preservation Rent]]&lt;&gt;""),Cdlac[[#This Row],[Preservation Rent]],Cdlac[[#This Row],[Restricted Rent]])),"")</f>
        <v>403.40000000000009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52</v>
      </c>
      <c r="F27" s="1075">
        <f>MIN(E27,ROUNDDOWN(E29*30%,0))</f>
        <v>48</v>
      </c>
      <c r="G27" s="1072">
        <f>D27*F27</f>
        <v>72</v>
      </c>
      <c r="H27" s="1074"/>
      <c r="I27" s="1074"/>
      <c r="L27" s="1044">
        <f>IFERROR(MIN(4,MATCH(Application!B725,UnitSizes,0)-1),"")</f>
        <v>2</v>
      </c>
      <c r="M27" s="1065">
        <f>Application!G725</f>
        <v>30</v>
      </c>
      <c r="N27" s="1071">
        <f>Application!AC725</f>
        <v>0.6</v>
      </c>
      <c r="O27" s="1071">
        <f>IF(Cdlac[[#This Row],[Quantity]]&gt;0,IF(Cdlac[[#This Row],[Federal]],30%,IF(AND(OR(NOT($G$38),$G$38=""),$G$43),40%,Cdlac[[#This Row],[iAMI]])),"")</f>
        <v>0.6</v>
      </c>
      <c r="P27" s="1065" cm="1">
        <f t="array" ref="P27">IF(Cdlac[[#This Row],[Quantity]]&gt;0,INDEX(TcacRents,$P$18,Cdlac[[#This Row],[Bedrooms]]+1)*Cdlac[[#This Row],[AMI]],"")</f>
        <v>2157.6</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524.40000000000009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34</v>
      </c>
      <c r="N28" s="1071">
        <f>Application!AC726</f>
        <v>0.6</v>
      </c>
      <c r="O28" s="1071">
        <f>IF(Cdlac[[#This Row],[Quantity]]&gt;0,IF(Cdlac[[#This Row],[Federal]],30%,IF(AND(OR(NOT($G$38),$G$38=""),$G$43),40%,Cdlac[[#This Row],[iAMI]])),"")</f>
        <v>0.6</v>
      </c>
      <c r="P28" s="1065" cm="1">
        <f t="array" ref="P28">IF(Cdlac[[#This Row],[Quantity]]&gt;0,INDEX(TcacRents,$P$18,Cdlac[[#This Row],[Bedrooms]]+1)*Cdlac[[#This Row],[AMI]],"")</f>
        <v>2492.4</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939.59999999999991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1585</v>
      </c>
      <c r="D29" s="2684"/>
      <c r="E29" s="1089">
        <f>SUM(E24:E28)</f>
        <v>163</v>
      </c>
      <c r="F29" s="1089">
        <f>SUM(F24:F28)</f>
        <v>163</v>
      </c>
      <c r="G29" s="1090">
        <f>SUMPRODUCT(D24:D28,F24:F28)</f>
        <v>200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200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10000000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0.54355828220858893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131930.20000000001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23747436.000000004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81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17</v>
      </c>
    </row>
    <row r="61" spans="2:21" ht="15" customHeight="1">
      <c r="E61" s="1117" t="s">
        <v>1994</v>
      </c>
      <c r="G61" s="1079">
        <f>ROUNDDOWN(E29*50%,0)</f>
        <v>81</v>
      </c>
    </row>
    <row r="62" spans="2:21" ht="15" customHeight="1">
      <c r="E62" s="1117"/>
      <c r="G62" s="1079"/>
    </row>
    <row r="63" spans="2:21" ht="15" customHeight="1">
      <c r="E63" s="1117" t="s">
        <v>1954</v>
      </c>
      <c r="G63" s="1114">
        <f>MIN(G60:G61)</f>
        <v>17</v>
      </c>
    </row>
    <row r="64" spans="2:21" ht="15" customHeight="1">
      <c r="E64" s="1117" t="s">
        <v>1944</v>
      </c>
      <c r="F64" s="1113" t="s">
        <v>1992</v>
      </c>
      <c r="G64" s="1124">
        <v>20000</v>
      </c>
    </row>
    <row r="65" spans="2:14" ht="15" customHeight="1">
      <c r="E65" s="1118" t="s">
        <v>1976</v>
      </c>
      <c r="F65" s="1046"/>
      <c r="G65" s="1123">
        <f>G63*G64</f>
        <v>340000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Low Resource</v>
      </c>
      <c r="L72" s="2656" t="s">
        <v>1969</v>
      </c>
      <c r="M72" s="2657"/>
      <c r="N72" s="1131">
        <v>30000</v>
      </c>
    </row>
    <row r="73" spans="2:14" ht="15" customHeight="1">
      <c r="C73" s="2658" t="s">
        <v>2262</v>
      </c>
      <c r="D73" s="2658"/>
      <c r="E73" s="2658"/>
      <c r="F73" s="2658"/>
      <c r="G73" s="1043" t="s">
        <v>669</v>
      </c>
      <c r="L73" s="2673" t="s">
        <v>1937</v>
      </c>
      <c r="M73" s="2674"/>
      <c r="N73" s="1132">
        <v>20000</v>
      </c>
    </row>
    <row r="74" spans="2:14" ht="15" customHeight="1" thickBot="1">
      <c r="C74" s="2658"/>
      <c r="D74" s="2658"/>
      <c r="E74" s="2658"/>
      <c r="F74" s="2658"/>
      <c r="L74" s="2648" t="s">
        <v>1970</v>
      </c>
      <c r="M74" s="2649"/>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200</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200</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200</v>
      </c>
    </row>
    <row r="97" spans="2:14" ht="15" customHeight="1">
      <c r="E97" s="1118" t="s">
        <v>1961</v>
      </c>
      <c r="F97" s="1046"/>
      <c r="G97" s="1123">
        <f>G94*G95*G96</f>
        <v>5600000</v>
      </c>
      <c r="L97" s="1127" t="str">
        <f>'Points System'!H638</f>
        <v>(i)</v>
      </c>
      <c r="M97" s="2654" t="s">
        <v>1404</v>
      </c>
      <c r="N97" s="2655"/>
    </row>
    <row r="98" spans="2:14" ht="15" customHeight="1">
      <c r="C98" s="1077"/>
      <c r="G98" s="1114"/>
      <c r="L98" s="1128" t="str">
        <f>'Points System'!H650</f>
        <v>N/A</v>
      </c>
      <c r="M98" s="2650" t="s">
        <v>1956</v>
      </c>
      <c r="N98" s="2651"/>
    </row>
    <row r="99" spans="2:14" ht="15" customHeight="1">
      <c r="E99" s="1084" t="s">
        <v>1997</v>
      </c>
      <c r="G99" s="1126">
        <f>COUNTIFS(L97:L104,"(i)")</f>
        <v>5</v>
      </c>
      <c r="L99" s="1128" t="str">
        <f>'Points System'!H685</f>
        <v>(i)</v>
      </c>
      <c r="M99" s="2650" t="s">
        <v>1957</v>
      </c>
      <c r="N99" s="2651"/>
    </row>
    <row r="100" spans="2:14" ht="15" customHeight="1">
      <c r="E100" s="1084" t="s">
        <v>1944</v>
      </c>
      <c r="F100" s="1113" t="s">
        <v>1992</v>
      </c>
      <c r="G100" s="1124">
        <v>4000</v>
      </c>
      <c r="L100" s="1128" t="str">
        <f>IF(OR('Points System'!H709="(ii)",'Points System'!H709="(i)"),"(i)","N/A")</f>
        <v>(i)</v>
      </c>
      <c r="M100" s="2650" t="s">
        <v>1958</v>
      </c>
      <c r="N100" s="2651"/>
    </row>
    <row r="101" spans="2:14" ht="15" customHeight="1">
      <c r="E101" s="1118" t="s">
        <v>1962</v>
      </c>
      <c r="F101" s="1046"/>
      <c r="G101" s="1123">
        <f>G96*G99*G100</f>
        <v>4000000</v>
      </c>
      <c r="L101" s="1129" t="str">
        <f>'Points System'!H723</f>
        <v>N/A</v>
      </c>
      <c r="M101" s="2650" t="s">
        <v>1430</v>
      </c>
      <c r="N101" s="2651"/>
    </row>
    <row r="102" spans="2:14" ht="15" customHeight="1">
      <c r="L102" s="1128" t="str">
        <f>'Points System'!H735</f>
        <v>N/A</v>
      </c>
      <c r="M102" s="2650" t="s">
        <v>1959</v>
      </c>
      <c r="N102" s="2651"/>
    </row>
    <row r="103" spans="2:14" ht="15" customHeight="1">
      <c r="C103" s="1080" t="s">
        <v>1964</v>
      </c>
      <c r="L103" s="1128" t="str">
        <f>'Points System'!H751</f>
        <v>(i)</v>
      </c>
      <c r="M103" s="2650" t="s">
        <v>1960</v>
      </c>
      <c r="N103" s="2651"/>
    </row>
    <row r="104" spans="2:14" ht="15" customHeight="1" thickBot="1">
      <c r="C104" s="1077" t="s">
        <v>1965</v>
      </c>
      <c r="G104" s="1043"/>
      <c r="L104" s="1130" t="str">
        <f>'Points System'!H763</f>
        <v>(i)</v>
      </c>
      <c r="M104" s="2652" t="s">
        <v>1433</v>
      </c>
      <c r="N104" s="2653"/>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200</v>
      </c>
    </row>
    <row r="112" spans="2:14" ht="15" customHeight="1">
      <c r="E112" s="1084" t="s">
        <v>1944</v>
      </c>
      <c r="F112" s="1113" t="s">
        <v>1992</v>
      </c>
      <c r="G112" s="1124">
        <v>25000</v>
      </c>
    </row>
    <row r="113" spans="2:9" ht="15" customHeight="1">
      <c r="E113" s="1118" t="s">
        <v>1963</v>
      </c>
      <c r="F113" s="1046"/>
      <c r="G113" s="1123">
        <f>G109*G112*G96</f>
        <v>5000000</v>
      </c>
    </row>
    <row r="114" spans="2:9" ht="15" customHeight="1">
      <c r="C114" s="1077"/>
      <c r="E114" s="1077"/>
    </row>
    <row r="115" spans="2:9" ht="15" customHeight="1">
      <c r="E115" s="1118" t="s">
        <v>2272</v>
      </c>
      <c r="G115" s="1123">
        <f>G113+G101+G97</f>
        <v>14600000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2227</v>
      </c>
      <c r="D119" s="2685"/>
      <c r="E119" s="2685"/>
      <c r="F119" s="2685"/>
    </row>
    <row r="120" spans="2:9" ht="15" customHeight="1">
      <c r="C120" s="2685"/>
      <c r="D120" s="2685"/>
      <c r="E120" s="2685"/>
      <c r="F120" s="2685"/>
      <c r="G120" s="1043"/>
    </row>
    <row r="121" spans="2:9" ht="15" customHeight="1"/>
    <row r="122" spans="2:9" ht="15" customHeight="1">
      <c r="C122" s="1044" t="s">
        <v>2229</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2000</v>
      </c>
      <c r="G131" s="1078">
        <f>MEDIAN((Application!CU160:CU217))</f>
        <v>489600</v>
      </c>
    </row>
    <row r="132" spans="2:9" ht="15">
      <c r="D132" s="1046"/>
      <c r="E132" s="1118" t="s">
        <v>2002</v>
      </c>
      <c r="F132" s="1134"/>
      <c r="G132" s="1135">
        <f>((G130-G131)/G131)*0.25</f>
        <v>8.6192810457516339E-2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2" t="s">
        <v>2275</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5585484.75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910</v>
      </c>
      <c r="B3" s="426" t="s">
        <v>2254</v>
      </c>
      <c r="C3" s="426" t="s">
        <v>2255</v>
      </c>
      <c r="D3" s="1146" t="s">
        <v>2256</v>
      </c>
      <c r="E3" s="204"/>
      <c r="F3" s="1146" t="s">
        <v>911</v>
      </c>
      <c r="G3" s="426" t="s">
        <v>912</v>
      </c>
      <c r="H3" s="427"/>
      <c r="I3" s="426" t="s">
        <v>913</v>
      </c>
      <c r="J3" s="426" t="s">
        <v>914</v>
      </c>
      <c r="K3" s="204"/>
      <c r="L3" s="305"/>
    </row>
    <row r="4" spans="1:12">
      <c r="A4" s="428" t="str">
        <f>Application!B718</f>
        <v>1 Bedroom</v>
      </c>
      <c r="B4" s="1082">
        <f>Application!G718</f>
        <v>7</v>
      </c>
      <c r="C4" s="1162"/>
      <c r="D4" s="428">
        <f>Application!O718</f>
        <v>868</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5</v>
      </c>
      <c r="C5" s="1162"/>
      <c r="D5" s="428">
        <f>Application!O719</f>
        <v>1040</v>
      </c>
      <c r="E5" s="429"/>
      <c r="F5" s="1083"/>
      <c r="G5" s="428">
        <f t="shared" ref="G5:G38" si="2">F5*B5</f>
        <v>0</v>
      </c>
      <c r="H5" s="429"/>
      <c r="I5" s="428" t="str">
        <f t="shared" si="0"/>
        <v/>
      </c>
      <c r="J5" s="428" t="str">
        <f t="shared" si="1"/>
        <v/>
      </c>
      <c r="K5" s="204"/>
      <c r="L5" s="305"/>
    </row>
    <row r="6" spans="1:12">
      <c r="A6" s="428" t="str">
        <f>Application!B720</f>
        <v>3 Bedrooms</v>
      </c>
      <c r="B6" s="1082">
        <f>Application!G720</f>
        <v>5</v>
      </c>
      <c r="C6" s="1162"/>
      <c r="D6" s="428">
        <f>Application!O720</f>
        <v>1195</v>
      </c>
      <c r="E6" s="429"/>
      <c r="F6" s="1083"/>
      <c r="G6" s="428">
        <f t="shared" si="2"/>
        <v>0</v>
      </c>
      <c r="H6" s="429"/>
      <c r="I6" s="428" t="str">
        <f t="shared" si="0"/>
        <v/>
      </c>
      <c r="J6" s="428" t="str">
        <f t="shared" si="1"/>
        <v/>
      </c>
      <c r="K6" s="204"/>
      <c r="L6" s="305"/>
    </row>
    <row r="7" spans="1:12">
      <c r="A7" s="428" t="str">
        <f>Application!B721</f>
        <v>1 Bedroom</v>
      </c>
      <c r="B7" s="1082">
        <f>Application!G721</f>
        <v>15</v>
      </c>
      <c r="C7" s="1162"/>
      <c r="D7" s="428">
        <f>Application!O721</f>
        <v>1467</v>
      </c>
      <c r="E7" s="429"/>
      <c r="F7" s="1083"/>
      <c r="G7" s="428">
        <f t="shared" si="2"/>
        <v>0</v>
      </c>
      <c r="H7" s="429"/>
      <c r="I7" s="428" t="str">
        <f t="shared" si="0"/>
        <v/>
      </c>
      <c r="J7" s="428" t="str">
        <f t="shared" si="1"/>
        <v/>
      </c>
      <c r="K7" s="204"/>
      <c r="L7" s="305"/>
    </row>
    <row r="8" spans="1:12">
      <c r="A8" s="428" t="str">
        <f>Application!B722</f>
        <v>2 Bedrooms</v>
      </c>
      <c r="B8" s="1082">
        <f>Application!G722</f>
        <v>13</v>
      </c>
      <c r="C8" s="1162"/>
      <c r="D8" s="428">
        <f>Application!O722</f>
        <v>1759</v>
      </c>
      <c r="E8" s="429"/>
      <c r="F8" s="1083"/>
      <c r="G8" s="428">
        <f t="shared" si="2"/>
        <v>0</v>
      </c>
      <c r="H8" s="429"/>
      <c r="I8" s="428" t="str">
        <f t="shared" si="0"/>
        <v/>
      </c>
      <c r="J8" s="428" t="str">
        <f t="shared" si="1"/>
        <v/>
      </c>
      <c r="K8" s="204"/>
      <c r="L8" s="305"/>
    </row>
    <row r="9" spans="1:12">
      <c r="A9" s="428" t="str">
        <f>Application!B723</f>
        <v>3 Bedrooms</v>
      </c>
      <c r="B9" s="1082">
        <f>Application!G723</f>
        <v>13</v>
      </c>
      <c r="C9" s="1162"/>
      <c r="D9" s="428">
        <f>Application!O723</f>
        <v>2026</v>
      </c>
      <c r="E9" s="429"/>
      <c r="F9" s="1083"/>
      <c r="G9" s="428">
        <f t="shared" si="2"/>
        <v>0</v>
      </c>
      <c r="H9" s="429"/>
      <c r="I9" s="428" t="str">
        <f t="shared" si="0"/>
        <v/>
      </c>
      <c r="J9" s="428" t="str">
        <f t="shared" si="1"/>
        <v/>
      </c>
      <c r="K9" s="204"/>
      <c r="L9" s="305"/>
    </row>
    <row r="10" spans="1:12">
      <c r="A10" s="428" t="str">
        <f>Application!B724</f>
        <v>1 Bedroom</v>
      </c>
      <c r="B10" s="1082">
        <f>Application!G724</f>
        <v>41</v>
      </c>
      <c r="C10" s="1162"/>
      <c r="D10" s="428">
        <f>Application!O724</f>
        <v>1767</v>
      </c>
      <c r="E10" s="429"/>
      <c r="F10" s="1083"/>
      <c r="G10" s="428">
        <f t="shared" si="2"/>
        <v>0</v>
      </c>
      <c r="H10" s="429"/>
      <c r="I10" s="428" t="str">
        <f t="shared" si="0"/>
        <v/>
      </c>
      <c r="J10" s="428" t="str">
        <f t="shared" si="1"/>
        <v/>
      </c>
      <c r="K10" s="204"/>
      <c r="L10" s="305"/>
    </row>
    <row r="11" spans="1:12">
      <c r="A11" s="428" t="str">
        <f>Application!B725</f>
        <v>2 Bedrooms</v>
      </c>
      <c r="B11" s="1082">
        <f>Application!G725</f>
        <v>30</v>
      </c>
      <c r="C11" s="1162"/>
      <c r="D11" s="428">
        <f>Application!O725</f>
        <v>2119</v>
      </c>
      <c r="E11" s="429"/>
      <c r="F11" s="1083"/>
      <c r="G11" s="428">
        <f t="shared" si="2"/>
        <v>0</v>
      </c>
      <c r="H11" s="429"/>
      <c r="I11" s="428" t="str">
        <f t="shared" si="0"/>
        <v/>
      </c>
      <c r="J11" s="428" t="str">
        <f t="shared" si="1"/>
        <v/>
      </c>
      <c r="K11" s="204"/>
      <c r="L11" s="305"/>
    </row>
    <row r="12" spans="1:12">
      <c r="A12" s="428" t="str">
        <f>Application!B726</f>
        <v>3 Bedrooms</v>
      </c>
      <c r="B12" s="1082">
        <f>Application!G726</f>
        <v>34</v>
      </c>
      <c r="C12" s="1162"/>
      <c r="D12" s="428">
        <f>Application!O726</f>
        <v>2442</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307506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90" t="s">
        <v>2496</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2258</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B25" sqref="B2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3690072</v>
      </c>
      <c r="G4" s="219">
        <f>E4*$C$4</f>
        <v>3782323.8</v>
      </c>
      <c r="I4" s="219">
        <f>G4*$C$4</f>
        <v>3876881.8949999996</v>
      </c>
      <c r="K4" s="219">
        <f>I4*$C$4</f>
        <v>3973803.9423749992</v>
      </c>
      <c r="M4" s="219">
        <f>K4*$C$4</f>
        <v>4073149.0409343736</v>
      </c>
      <c r="O4" s="219">
        <f>M4*$C$4</f>
        <v>4174977.7669577324</v>
      </c>
      <c r="Q4" s="219">
        <f>O4*$C$4</f>
        <v>4279352.2111316752</v>
      </c>
      <c r="S4" s="219">
        <f>Q4*$C$4</f>
        <v>4386336.0164099671</v>
      </c>
      <c r="U4" s="219">
        <f>S4*$C$4</f>
        <v>4495994.416820216</v>
      </c>
      <c r="W4" s="219">
        <f>U4*$C$4</f>
        <v>4608394.2772407206</v>
      </c>
      <c r="Y4" s="219">
        <f>W4*$C$4</f>
        <v>4723604.1341717383</v>
      </c>
      <c r="AA4" s="219">
        <f>Y4*$C$4</f>
        <v>4841694.2375260312</v>
      </c>
      <c r="AC4" s="219">
        <f>AA4*$C$4</f>
        <v>4962736.5934641818</v>
      </c>
      <c r="AE4" s="219">
        <f>AC4*$C$4</f>
        <v>5086805.0083007859</v>
      </c>
      <c r="AG4" s="219">
        <f>AE4*$C$4</f>
        <v>5213975.1335083051</v>
      </c>
    </row>
    <row r="5" spans="1:34" s="210" customFormat="1" ht="14.25">
      <c r="B5" s="210" t="s">
        <v>838</v>
      </c>
      <c r="C5" s="238">
        <f>IF(Application!$D$211="Special Needs",(((0.1*Application!$T$212)+(0.05*(1-Application!$T$212)))),0.05)</f>
        <v>0.05</v>
      </c>
      <c r="E5" s="221">
        <f>-E4*$C$5</f>
        <v>-184503.6</v>
      </c>
      <c r="F5" s="221"/>
      <c r="G5" s="221">
        <f>-G4*$C$5</f>
        <v>-189116.19</v>
      </c>
      <c r="H5" s="221"/>
      <c r="I5" s="221">
        <f>-I4*$C$5</f>
        <v>-193844.09474999999</v>
      </c>
      <c r="J5" s="221"/>
      <c r="K5" s="221">
        <f>-K4*$C$5</f>
        <v>-198690.19711874996</v>
      </c>
      <c r="L5" s="221"/>
      <c r="M5" s="221">
        <f>-M4*$C$5</f>
        <v>-203657.45204671868</v>
      </c>
      <c r="N5" s="221"/>
      <c r="O5" s="221">
        <f>-O4*$C$5</f>
        <v>-208748.88834788662</v>
      </c>
      <c r="P5" s="221"/>
      <c r="Q5" s="221">
        <f>-Q4*$C$5</f>
        <v>-213967.61055658376</v>
      </c>
      <c r="R5" s="221"/>
      <c r="S5" s="221">
        <f>-S4*$C$5</f>
        <v>-219316.80082049838</v>
      </c>
      <c r="T5" s="221"/>
      <c r="U5" s="221">
        <f>-U4*$C$5</f>
        <v>-224799.7208410108</v>
      </c>
      <c r="V5" s="221"/>
      <c r="W5" s="221">
        <f>-W4*$C$5</f>
        <v>-230419.71386203603</v>
      </c>
      <c r="X5" s="221"/>
      <c r="Y5" s="221">
        <f>-Y4*$C$5</f>
        <v>-236180.20670858692</v>
      </c>
      <c r="Z5" s="221"/>
      <c r="AA5" s="221">
        <f>-AA4*$C$5</f>
        <v>-242084.71187630156</v>
      </c>
      <c r="AB5" s="221"/>
      <c r="AC5" s="221">
        <f>-AC4*$C$5</f>
        <v>-248136.82967320911</v>
      </c>
      <c r="AD5" s="221"/>
      <c r="AE5" s="221">
        <f>-AE4*$C$5</f>
        <v>-254340.25041503931</v>
      </c>
      <c r="AF5" s="221"/>
      <c r="AG5" s="221">
        <f>-AG4*$C$5</f>
        <v>-260698.75667541526</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41330</v>
      </c>
      <c r="F8" s="222"/>
      <c r="G8" s="222">
        <f>E8*$C$8</f>
        <v>42363.249999999993</v>
      </c>
      <c r="H8" s="222"/>
      <c r="I8" s="222">
        <f>G8*$C$8</f>
        <v>43422.331249999988</v>
      </c>
      <c r="J8" s="222"/>
      <c r="K8" s="222">
        <f>I8*$C$8</f>
        <v>44507.889531249981</v>
      </c>
      <c r="L8" s="222"/>
      <c r="M8" s="222">
        <f>K8*$C$8</f>
        <v>45620.586769531226</v>
      </c>
      <c r="N8" s="222"/>
      <c r="O8" s="222">
        <f>M8*$C$8</f>
        <v>46761.101438769503</v>
      </c>
      <c r="P8" s="222"/>
      <c r="Q8" s="222">
        <f>O8*$C$8</f>
        <v>47930.128974738735</v>
      </c>
      <c r="R8" s="222"/>
      <c r="S8" s="222">
        <f>Q8*$C$8</f>
        <v>49128.382199107196</v>
      </c>
      <c r="T8" s="222"/>
      <c r="U8" s="222">
        <f>S8*$C$8</f>
        <v>50356.591754084875</v>
      </c>
      <c r="V8" s="222"/>
      <c r="W8" s="222">
        <f>U8*$C$8</f>
        <v>51615.506547936995</v>
      </c>
      <c r="X8" s="222"/>
      <c r="Y8" s="222">
        <f>W8*$C$8</f>
        <v>52905.894211635416</v>
      </c>
      <c r="Z8" s="222"/>
      <c r="AA8" s="222">
        <f>Y8*$C$8</f>
        <v>54228.541566926295</v>
      </c>
      <c r="AB8" s="222"/>
      <c r="AC8" s="222">
        <f>AA8*$C$8</f>
        <v>55584.255106099445</v>
      </c>
      <c r="AD8" s="222"/>
      <c r="AE8" s="222">
        <f>AC8*$C$8</f>
        <v>56973.861483751927</v>
      </c>
      <c r="AF8" s="222"/>
      <c r="AG8" s="222">
        <f>AE8*$C$8</f>
        <v>58398.208020845719</v>
      </c>
    </row>
    <row r="9" spans="1:34" s="210" customFormat="1" ht="14.25">
      <c r="B9" s="210" t="s">
        <v>838</v>
      </c>
      <c r="C9" s="238">
        <f>IF(Application!$D$211="Special Needs",(((0.1*Application!$T$212)+(0.05*(1-Application!$T$212)))),0.05)</f>
        <v>0.05</v>
      </c>
      <c r="E9" s="221">
        <f>-E8*$C$9</f>
        <v>-2066.5</v>
      </c>
      <c r="F9" s="221"/>
      <c r="G9" s="221">
        <f>-G8*$C$9</f>
        <v>-2118.1624999999999</v>
      </c>
      <c r="H9" s="221"/>
      <c r="I9" s="221">
        <f>-I8*$C$9</f>
        <v>-2171.1165624999994</v>
      </c>
      <c r="J9" s="221"/>
      <c r="K9" s="221">
        <f>-K8*$C$9</f>
        <v>-2225.3944765624992</v>
      </c>
      <c r="L9" s="221"/>
      <c r="M9" s="221">
        <f>-M8*$C$9</f>
        <v>-2281.0293384765614</v>
      </c>
      <c r="N9" s="221"/>
      <c r="O9" s="221">
        <f>-O8*$C$9</f>
        <v>-2338.0550719384751</v>
      </c>
      <c r="P9" s="221"/>
      <c r="Q9" s="221">
        <f>-Q8*$C$9</f>
        <v>-2396.5064487369368</v>
      </c>
      <c r="R9" s="221"/>
      <c r="S9" s="221">
        <f>-S8*$C$9</f>
        <v>-2456.41910995536</v>
      </c>
      <c r="T9" s="221"/>
      <c r="U9" s="221">
        <f>-U8*$C$9</f>
        <v>-2517.8295877042437</v>
      </c>
      <c r="V9" s="221"/>
      <c r="W9" s="221">
        <f>-W8*$C$9</f>
        <v>-2580.7753273968501</v>
      </c>
      <c r="X9" s="221"/>
      <c r="Y9" s="221">
        <f>-Y8*$C$9</f>
        <v>-2645.2947105817711</v>
      </c>
      <c r="Z9" s="221"/>
      <c r="AA9" s="221">
        <f>-AA8*$C$9</f>
        <v>-2711.4270783463148</v>
      </c>
      <c r="AB9" s="221"/>
      <c r="AC9" s="221">
        <f>-AC8*$C$9</f>
        <v>-2779.2127553049722</v>
      </c>
      <c r="AD9" s="221"/>
      <c r="AE9" s="221">
        <f>-AE8*$C$9</f>
        <v>-2848.6930741875967</v>
      </c>
      <c r="AF9" s="221"/>
      <c r="AG9" s="221">
        <f>-AG8*$C$9</f>
        <v>-2919.9104010422861</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3544831.9</v>
      </c>
      <c r="G11" s="223">
        <f>SUM(G4:G10)</f>
        <v>3633452.6974999998</v>
      </c>
      <c r="I11" s="223">
        <f>SUM(I4:I10)</f>
        <v>3724289.0149374991</v>
      </c>
      <c r="K11" s="223">
        <f>SUM(K4:K10)</f>
        <v>3817396.2403109372</v>
      </c>
      <c r="M11" s="223">
        <f>SUM(M4:M10)</f>
        <v>3912831.1463187095</v>
      </c>
      <c r="O11" s="223">
        <f>SUM(O4:O10)</f>
        <v>4010651.9249766772</v>
      </c>
      <c r="Q11" s="223">
        <f>SUM(Q4:Q10)</f>
        <v>4110918.223101093</v>
      </c>
      <c r="S11" s="223">
        <f>SUM(S4:S10)</f>
        <v>4213691.1786786206</v>
      </c>
      <c r="U11" s="223">
        <f>SUM(U4:U10)</f>
        <v>4319033.4581455849</v>
      </c>
      <c r="W11" s="223">
        <f>SUM(W4:W10)</f>
        <v>4427009.2945992248</v>
      </c>
      <c r="Y11" s="223">
        <f>SUM(Y4:Y10)</f>
        <v>4537684.5269642044</v>
      </c>
      <c r="AA11" s="223">
        <f>SUM(AA4:AA10)</f>
        <v>4651126.6401383094</v>
      </c>
      <c r="AC11" s="223">
        <f>SUM(AC4:AC10)</f>
        <v>4767404.8061417677</v>
      </c>
      <c r="AE11" s="223">
        <f>SUM(AE4:AE10)</f>
        <v>4886589.9262953112</v>
      </c>
      <c r="AG11" s="223">
        <f>SUM(AG4:AG10)</f>
        <v>5008754.6744526923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55582</v>
      </c>
      <c r="G15" s="219">
        <f>E15*$C$14</f>
        <v>57527.369999999995</v>
      </c>
      <c r="I15" s="219">
        <f>G15*$C$14</f>
        <v>59540.827949999992</v>
      </c>
      <c r="K15" s="219">
        <f>I15*$C$14</f>
        <v>61624.75692824999</v>
      </c>
      <c r="M15" s="219">
        <f>K15*$C$14</f>
        <v>63781.623420738732</v>
      </c>
      <c r="O15" s="219">
        <f>M15*$C$14</f>
        <v>66013.980240464589</v>
      </c>
      <c r="Q15" s="219">
        <f>O15*$C$14</f>
        <v>68324.46954888085</v>
      </c>
      <c r="S15" s="219">
        <f>Q15*$C$14</f>
        <v>70715.82598309168</v>
      </c>
      <c r="U15" s="219">
        <f>S15*$C$14</f>
        <v>73190.879892499885</v>
      </c>
      <c r="W15" s="219">
        <f>U15*$C$14</f>
        <v>75752.560688737372</v>
      </c>
      <c r="Y15" s="219">
        <f>W15*$C$14</f>
        <v>78403.90031284318</v>
      </c>
      <c r="AA15" s="219">
        <f>Y15*$C$14</f>
        <v>81148.036823792689</v>
      </c>
      <c r="AC15" s="219">
        <f>AA15*$C$14</f>
        <v>83988.218112625429</v>
      </c>
      <c r="AE15" s="219">
        <f>AC15*$C$14</f>
        <v>86927.805746567319</v>
      </c>
      <c r="AG15" s="219">
        <f>AE15*$C$14</f>
        <v>89970.278947697167</v>
      </c>
    </row>
    <row r="16" spans="1:34" s="210" customFormat="1" ht="14.25">
      <c r="A16" s="210" t="s">
        <v>344</v>
      </c>
      <c r="C16" s="233"/>
      <c r="E16" s="222">
        <f>Application!W849</f>
        <v>153151</v>
      </c>
      <c r="F16" s="222"/>
      <c r="G16" s="222">
        <f t="shared" ref="G16:AG21" si="0">E16*$C$14</f>
        <v>158511.28499999997</v>
      </c>
      <c r="H16" s="222"/>
      <c r="I16" s="222">
        <f t="shared" si="0"/>
        <v>164059.17997499995</v>
      </c>
      <c r="J16" s="222"/>
      <c r="K16" s="222">
        <f t="shared" si="0"/>
        <v>169801.25127412492</v>
      </c>
      <c r="L16" s="222"/>
      <c r="M16" s="222">
        <f t="shared" si="0"/>
        <v>175744.29506871928</v>
      </c>
      <c r="N16" s="222"/>
      <c r="O16" s="222">
        <f t="shared" si="0"/>
        <v>181895.34539612444</v>
      </c>
      <c r="P16" s="222"/>
      <c r="Q16" s="222">
        <f t="shared" si="0"/>
        <v>188261.68248498879</v>
      </c>
      <c r="R16" s="222"/>
      <c r="S16" s="222">
        <f t="shared" si="0"/>
        <v>194850.84137196338</v>
      </c>
      <c r="T16" s="222"/>
      <c r="U16" s="222">
        <f t="shared" si="0"/>
        <v>201670.62081998208</v>
      </c>
      <c r="V16" s="222"/>
      <c r="W16" s="222">
        <f t="shared" si="0"/>
        <v>208729.09254868145</v>
      </c>
      <c r="X16" s="222"/>
      <c r="Y16" s="222">
        <f t="shared" si="0"/>
        <v>216034.61078788529</v>
      </c>
      <c r="Z16" s="222"/>
      <c r="AA16" s="222">
        <f t="shared" si="0"/>
        <v>223595.82216546126</v>
      </c>
      <c r="AB16" s="222"/>
      <c r="AC16" s="222">
        <f t="shared" si="0"/>
        <v>231421.67594125238</v>
      </c>
      <c r="AD16" s="222"/>
      <c r="AE16" s="222">
        <f t="shared" si="0"/>
        <v>239521.43459919619</v>
      </c>
      <c r="AF16" s="222"/>
      <c r="AG16" s="222">
        <f t="shared" si="0"/>
        <v>247904.68481016802</v>
      </c>
    </row>
    <row r="17" spans="1:33" s="210" customFormat="1" ht="14.25">
      <c r="A17" s="210" t="s">
        <v>561</v>
      </c>
      <c r="C17" s="233"/>
      <c r="E17" s="222">
        <f>Application!W855</f>
        <v>184263</v>
      </c>
      <c r="F17" s="222"/>
      <c r="G17" s="222">
        <f t="shared" si="0"/>
        <v>190712.20499999999</v>
      </c>
      <c r="H17" s="222"/>
      <c r="I17" s="222">
        <f t="shared" si="0"/>
        <v>197387.13217499998</v>
      </c>
      <c r="J17" s="222"/>
      <c r="K17" s="222">
        <f t="shared" si="0"/>
        <v>204295.68180112497</v>
      </c>
      <c r="L17" s="222"/>
      <c r="M17" s="222">
        <f t="shared" si="0"/>
        <v>211446.03066416434</v>
      </c>
      <c r="N17" s="222"/>
      <c r="O17" s="222">
        <f t="shared" si="0"/>
        <v>218846.64173741007</v>
      </c>
      <c r="P17" s="222"/>
      <c r="Q17" s="222">
        <f t="shared" si="0"/>
        <v>226506.27419821941</v>
      </c>
      <c r="R17" s="222"/>
      <c r="S17" s="222">
        <f t="shared" si="0"/>
        <v>234433.99379515706</v>
      </c>
      <c r="T17" s="222"/>
      <c r="U17" s="222">
        <f t="shared" si="0"/>
        <v>242639.18357798754</v>
      </c>
      <c r="V17" s="222"/>
      <c r="W17" s="222">
        <f t="shared" si="0"/>
        <v>251131.55500321707</v>
      </c>
      <c r="X17" s="222"/>
      <c r="Y17" s="222">
        <f t="shared" si="0"/>
        <v>259921.15942832964</v>
      </c>
      <c r="Z17" s="222"/>
      <c r="AA17" s="222">
        <f t="shared" si="0"/>
        <v>269018.40000832116</v>
      </c>
      <c r="AB17" s="222"/>
      <c r="AC17" s="222">
        <f t="shared" si="0"/>
        <v>278434.0440086124</v>
      </c>
      <c r="AD17" s="222"/>
      <c r="AE17" s="222">
        <f t="shared" si="0"/>
        <v>288179.23554891383</v>
      </c>
      <c r="AF17" s="222"/>
      <c r="AG17" s="222">
        <f t="shared" si="0"/>
        <v>298265.5087931258</v>
      </c>
    </row>
    <row r="18" spans="1:33" s="210" customFormat="1" ht="14.25">
      <c r="A18" s="210" t="s">
        <v>842</v>
      </c>
      <c r="C18" s="233"/>
      <c r="E18" s="222">
        <f>Application!W862</f>
        <v>318167</v>
      </c>
      <c r="F18" s="222"/>
      <c r="G18" s="222">
        <f t="shared" si="0"/>
        <v>329302.84499999997</v>
      </c>
      <c r="H18" s="222"/>
      <c r="I18" s="222">
        <f t="shared" si="0"/>
        <v>340828.44457499997</v>
      </c>
      <c r="J18" s="222"/>
      <c r="K18" s="222">
        <f t="shared" si="0"/>
        <v>352757.44013512495</v>
      </c>
      <c r="L18" s="222"/>
      <c r="M18" s="222">
        <f t="shared" si="0"/>
        <v>365103.9505398543</v>
      </c>
      <c r="N18" s="222"/>
      <c r="O18" s="222">
        <f t="shared" si="0"/>
        <v>377882.58880874916</v>
      </c>
      <c r="P18" s="222"/>
      <c r="Q18" s="222">
        <f t="shared" si="0"/>
        <v>391108.47941705538</v>
      </c>
      <c r="R18" s="222"/>
      <c r="S18" s="222">
        <f t="shared" si="0"/>
        <v>404797.27619665227</v>
      </c>
      <c r="T18" s="222"/>
      <c r="U18" s="222">
        <f t="shared" si="0"/>
        <v>418965.18086353509</v>
      </c>
      <c r="V18" s="222"/>
      <c r="W18" s="222">
        <f t="shared" si="0"/>
        <v>433628.96219375881</v>
      </c>
      <c r="X18" s="222"/>
      <c r="Y18" s="222">
        <f t="shared" si="0"/>
        <v>448805.97587054031</v>
      </c>
      <c r="Z18" s="222"/>
      <c r="AA18" s="222">
        <f t="shared" si="0"/>
        <v>464514.18502600916</v>
      </c>
      <c r="AB18" s="222"/>
      <c r="AC18" s="222">
        <f t="shared" si="0"/>
        <v>480772.18150191946</v>
      </c>
      <c r="AD18" s="222"/>
      <c r="AE18" s="222">
        <f t="shared" si="0"/>
        <v>497599.20785448659</v>
      </c>
      <c r="AF18" s="222"/>
      <c r="AG18" s="222">
        <f t="shared" si="0"/>
        <v>515015.18012939359</v>
      </c>
    </row>
    <row r="19" spans="1:33" s="210" customFormat="1" ht="14.25">
      <c r="A19" s="210" t="s">
        <v>155</v>
      </c>
      <c r="C19" s="233"/>
      <c r="E19" s="222">
        <f>Application!W863</f>
        <v>149366</v>
      </c>
      <c r="F19" s="222"/>
      <c r="G19" s="222">
        <f t="shared" si="0"/>
        <v>154593.81</v>
      </c>
      <c r="H19" s="222"/>
      <c r="I19" s="222">
        <f t="shared" si="0"/>
        <v>160004.59334999998</v>
      </c>
      <c r="J19" s="222"/>
      <c r="K19" s="222">
        <f t="shared" si="0"/>
        <v>165604.75411724998</v>
      </c>
      <c r="L19" s="222"/>
      <c r="M19" s="222">
        <f t="shared" si="0"/>
        <v>171400.9205113537</v>
      </c>
      <c r="N19" s="222"/>
      <c r="O19" s="222">
        <f t="shared" si="0"/>
        <v>177399.95272925106</v>
      </c>
      <c r="P19" s="222"/>
      <c r="Q19" s="222">
        <f t="shared" si="0"/>
        <v>183608.95107477484</v>
      </c>
      <c r="R19" s="222"/>
      <c r="S19" s="222">
        <f t="shared" si="0"/>
        <v>190035.26436239196</v>
      </c>
      <c r="T19" s="222"/>
      <c r="U19" s="222">
        <f t="shared" si="0"/>
        <v>196686.49861507566</v>
      </c>
      <c r="V19" s="222"/>
      <c r="W19" s="222">
        <f t="shared" si="0"/>
        <v>203570.52606660328</v>
      </c>
      <c r="X19" s="222"/>
      <c r="Y19" s="222">
        <f t="shared" si="0"/>
        <v>210695.49447893439</v>
      </c>
      <c r="Z19" s="222"/>
      <c r="AA19" s="222">
        <f t="shared" si="0"/>
        <v>218069.83678569709</v>
      </c>
      <c r="AB19" s="222"/>
      <c r="AC19" s="222">
        <f t="shared" si="0"/>
        <v>225702.28107319647</v>
      </c>
      <c r="AD19" s="222"/>
      <c r="AE19" s="222">
        <f t="shared" si="0"/>
        <v>233601.86091075832</v>
      </c>
      <c r="AF19" s="222"/>
      <c r="AG19" s="222">
        <f t="shared" si="0"/>
        <v>241777.92604263485</v>
      </c>
    </row>
    <row r="20" spans="1:33" s="210" customFormat="1" ht="14.25">
      <c r="A20" s="210" t="s">
        <v>390</v>
      </c>
      <c r="C20" s="233"/>
      <c r="E20" s="222">
        <f>Application!W872</f>
        <v>123050</v>
      </c>
      <c r="F20" s="222"/>
      <c r="G20" s="222">
        <f t="shared" si="0"/>
        <v>127356.74999999999</v>
      </c>
      <c r="H20" s="222"/>
      <c r="I20" s="222">
        <f t="shared" si="0"/>
        <v>131814.23624999999</v>
      </c>
      <c r="J20" s="222"/>
      <c r="K20" s="222">
        <f t="shared" si="0"/>
        <v>136427.73451874999</v>
      </c>
      <c r="L20" s="222"/>
      <c r="M20" s="222">
        <f t="shared" si="0"/>
        <v>141202.70522690623</v>
      </c>
      <c r="N20" s="222"/>
      <c r="O20" s="222">
        <f t="shared" si="0"/>
        <v>146144.79990984793</v>
      </c>
      <c r="P20" s="222"/>
      <c r="Q20" s="222">
        <f t="shared" si="0"/>
        <v>151259.86790669261</v>
      </c>
      <c r="R20" s="222"/>
      <c r="S20" s="222">
        <f t="shared" si="0"/>
        <v>156553.96328342686</v>
      </c>
      <c r="T20" s="222"/>
      <c r="U20" s="222">
        <f t="shared" si="0"/>
        <v>162033.35199834677</v>
      </c>
      <c r="V20" s="222"/>
      <c r="W20" s="222">
        <f t="shared" si="0"/>
        <v>167704.51931828889</v>
      </c>
      <c r="X20" s="222"/>
      <c r="Y20" s="222">
        <f t="shared" si="0"/>
        <v>173574.17749442899</v>
      </c>
      <c r="Z20" s="222"/>
      <c r="AA20" s="222">
        <f t="shared" si="0"/>
        <v>179649.27370673401</v>
      </c>
      <c r="AB20" s="222"/>
      <c r="AC20" s="222">
        <f t="shared" si="0"/>
        <v>185936.99828646969</v>
      </c>
      <c r="AD20" s="222"/>
      <c r="AE20" s="222">
        <f t="shared" si="0"/>
        <v>192444.79322649611</v>
      </c>
      <c r="AF20" s="222"/>
      <c r="AG20" s="222">
        <f t="shared" si="0"/>
        <v>199180.36098942347</v>
      </c>
    </row>
    <row r="21" spans="1:33" s="210" customFormat="1" ht="14.25">
      <c r="A21" s="226" t="s">
        <v>2717</v>
      </c>
      <c r="B21" s="226"/>
      <c r="C21" s="233"/>
      <c r="E21" s="232">
        <f>Application!W879</f>
        <v>25396</v>
      </c>
      <c r="F21" s="222"/>
      <c r="G21" s="232">
        <f t="shared" si="0"/>
        <v>26284.859999999997</v>
      </c>
      <c r="H21" s="222"/>
      <c r="I21" s="232">
        <f t="shared" si="0"/>
        <v>27204.830099999996</v>
      </c>
      <c r="J21" s="222"/>
      <c r="K21" s="232">
        <f t="shared" si="0"/>
        <v>28156.999153499994</v>
      </c>
      <c r="L21" s="222"/>
      <c r="M21" s="232">
        <f t="shared" si="0"/>
        <v>29142.49412387249</v>
      </c>
      <c r="N21" s="222"/>
      <c r="O21" s="232">
        <f t="shared" si="0"/>
        <v>30162.481418208023</v>
      </c>
      <c r="P21" s="222"/>
      <c r="Q21" s="232">
        <f t="shared" si="0"/>
        <v>31218.1682678453</v>
      </c>
      <c r="R21" s="222"/>
      <c r="S21" s="232">
        <f t="shared" si="0"/>
        <v>32310.804157219882</v>
      </c>
      <c r="T21" s="222"/>
      <c r="U21" s="232">
        <f t="shared" si="0"/>
        <v>33441.682302722576</v>
      </c>
      <c r="V21" s="222"/>
      <c r="W21" s="232">
        <f t="shared" si="0"/>
        <v>34612.141183317864</v>
      </c>
      <c r="X21" s="222"/>
      <c r="Y21" s="232">
        <f t="shared" si="0"/>
        <v>35823.566124733989</v>
      </c>
      <c r="Z21" s="222"/>
      <c r="AA21" s="232">
        <f t="shared" si="0"/>
        <v>37077.390939099678</v>
      </c>
      <c r="AB21" s="222"/>
      <c r="AC21" s="232">
        <f t="shared" si="0"/>
        <v>38375.099621968162</v>
      </c>
      <c r="AD21" s="222"/>
      <c r="AE21" s="232">
        <f t="shared" si="0"/>
        <v>39718.228108737043</v>
      </c>
      <c r="AF21" s="222"/>
      <c r="AG21" s="232">
        <f t="shared" si="0"/>
        <v>41108.366092542834</v>
      </c>
    </row>
    <row r="22" spans="1:33" s="223" customFormat="1" ht="15">
      <c r="A22" s="223" t="s">
        <v>843</v>
      </c>
      <c r="C22" s="233"/>
      <c r="E22" s="223">
        <f>SUM(E15:E21)</f>
        <v>1008975</v>
      </c>
      <c r="G22" s="223">
        <f>SUM(G15:G21)</f>
        <v>1044289.1249999999</v>
      </c>
      <c r="I22" s="223">
        <f>SUM(I15:I21)</f>
        <v>1080839.2443749998</v>
      </c>
      <c r="K22" s="223">
        <f>SUM(K15:K21)</f>
        <v>1118668.6179281247</v>
      </c>
      <c r="M22" s="223">
        <f>SUM(M15:M21)</f>
        <v>1157822.0195556094</v>
      </c>
      <c r="O22" s="223">
        <f>SUM(O15:O21)</f>
        <v>1198345.7902400552</v>
      </c>
      <c r="Q22" s="223">
        <f>SUM(Q15:Q21)</f>
        <v>1240287.8928984574</v>
      </c>
      <c r="S22" s="223">
        <f>SUM(S15:S21)</f>
        <v>1283697.9691499029</v>
      </c>
      <c r="U22" s="223">
        <f>SUM(U15:U21)</f>
        <v>1328627.3980701496</v>
      </c>
      <c r="W22" s="223">
        <f>SUM(W15:W21)</f>
        <v>1375129.3570026048</v>
      </c>
      <c r="Y22" s="223">
        <f>SUM(Y15:Y21)</f>
        <v>1423258.8844976958</v>
      </c>
      <c r="AA22" s="223">
        <f>SUM(AA15:AA21)</f>
        <v>1473072.9454551151</v>
      </c>
      <c r="AC22" s="223">
        <f>SUM(AC15:AC21)</f>
        <v>1524630.4985460439</v>
      </c>
      <c r="AE22" s="223">
        <f>SUM(AE15:AE21)</f>
        <v>1577992.5659951556</v>
      </c>
      <c r="AG22" s="223">
        <f>SUM(AG15:AG21)</f>
        <v>1633222.3058049856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v>1.02</v>
      </c>
      <c r="E24" s="910">
        <v>743668</v>
      </c>
      <c r="F24" s="222"/>
      <c r="G24" s="222">
        <f>E24*$C$24</f>
        <v>758541.36</v>
      </c>
      <c r="H24" s="222"/>
      <c r="I24" s="222">
        <f>G24*$C$24</f>
        <v>773712.18720000004</v>
      </c>
      <c r="J24" s="222"/>
      <c r="K24" s="222">
        <f>I24*$C$24</f>
        <v>789186.43094400002</v>
      </c>
      <c r="L24" s="222"/>
      <c r="M24" s="222">
        <f>K24*$C$24</f>
        <v>804970.15956288006</v>
      </c>
      <c r="N24" s="222"/>
      <c r="O24" s="222">
        <f>M24*$C$24</f>
        <v>821069.56275413767</v>
      </c>
      <c r="P24" s="222"/>
      <c r="Q24" s="222">
        <f>O24*$C$24</f>
        <v>837490.95400922047</v>
      </c>
      <c r="R24" s="222"/>
      <c r="S24" s="222">
        <f>Q24*$C$24</f>
        <v>854240.77308940492</v>
      </c>
      <c r="T24" s="222"/>
      <c r="U24" s="222">
        <f>S24*$C$24</f>
        <v>871325.58855119301</v>
      </c>
      <c r="V24" s="222"/>
      <c r="W24" s="222">
        <f>U24*$C$24</f>
        <v>888752.10032221687</v>
      </c>
      <c r="X24" s="222"/>
      <c r="Y24" s="222">
        <f>W24*$C$24</f>
        <v>906527.14232866117</v>
      </c>
      <c r="Z24" s="222"/>
      <c r="AA24" s="222">
        <f>Y24*$C$24</f>
        <v>924657.68517523445</v>
      </c>
      <c r="AB24" s="222"/>
      <c r="AC24" s="222">
        <f>AA24*$C$24</f>
        <v>943150.83887873916</v>
      </c>
      <c r="AD24" s="222"/>
      <c r="AE24" s="222">
        <f>AC24*$C$24</f>
        <v>962013.85565631394</v>
      </c>
      <c r="AF24" s="222"/>
      <c r="AG24" s="222">
        <f>AE24*$C$24</f>
        <v>981254.13276944018</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846</v>
      </c>
      <c r="C28" s="237"/>
      <c r="E28" s="222">
        <f>Application!AC889</f>
        <v>49500</v>
      </c>
      <c r="F28" s="222"/>
      <c r="G28" s="222">
        <f>$E$28</f>
        <v>49500</v>
      </c>
      <c r="H28" s="222"/>
      <c r="I28" s="222">
        <f>$E$28</f>
        <v>49500</v>
      </c>
      <c r="J28" s="222"/>
      <c r="K28" s="222">
        <f>$E$28</f>
        <v>49500</v>
      </c>
      <c r="L28" s="222"/>
      <c r="M28" s="222">
        <f>$E$28</f>
        <v>49500</v>
      </c>
      <c r="N28" s="222"/>
      <c r="O28" s="222">
        <f>$E$28</f>
        <v>49500</v>
      </c>
      <c r="P28" s="222"/>
      <c r="Q28" s="222">
        <f>$E$28</f>
        <v>49500</v>
      </c>
      <c r="R28" s="222"/>
      <c r="S28" s="222">
        <f>$E$28</f>
        <v>49500</v>
      </c>
      <c r="T28" s="222"/>
      <c r="U28" s="222">
        <f>$E$28</f>
        <v>49500</v>
      </c>
      <c r="V28" s="222"/>
      <c r="W28" s="222">
        <f>$E$28</f>
        <v>49500</v>
      </c>
      <c r="X28" s="222"/>
      <c r="Y28" s="222">
        <f>$E$28</f>
        <v>49500</v>
      </c>
      <c r="Z28" s="222"/>
      <c r="AA28" s="222">
        <f>$E$28</f>
        <v>49500</v>
      </c>
      <c r="AB28" s="222"/>
      <c r="AC28" s="222">
        <f>$E$28</f>
        <v>49500</v>
      </c>
      <c r="AD28" s="222"/>
      <c r="AE28" s="222">
        <f>$E$28</f>
        <v>49500</v>
      </c>
      <c r="AF28" s="222"/>
      <c r="AG28" s="222">
        <f>$E$28</f>
        <v>49500</v>
      </c>
    </row>
    <row r="29" spans="1:33" s="210" customFormat="1" ht="14.25">
      <c r="A29" s="210" t="s">
        <v>1679</v>
      </c>
      <c r="C29" s="237"/>
      <c r="E29" s="222">
        <f>Application!AC890</f>
        <v>18618</v>
      </c>
      <c r="F29" s="222"/>
      <c r="G29" s="222">
        <f>$E$29</f>
        <v>18618</v>
      </c>
      <c r="H29" s="222"/>
      <c r="I29" s="222">
        <f>$E$29</f>
        <v>18618</v>
      </c>
      <c r="J29" s="222"/>
      <c r="K29" s="222">
        <f>$E$29</f>
        <v>18618</v>
      </c>
      <c r="L29" s="222"/>
      <c r="M29" s="222">
        <f>$E$29</f>
        <v>18618</v>
      </c>
      <c r="N29" s="222"/>
      <c r="O29" s="222">
        <f>$E$29</f>
        <v>18618</v>
      </c>
      <c r="P29" s="222"/>
      <c r="Q29" s="222">
        <f>$E$29</f>
        <v>18618</v>
      </c>
      <c r="R29" s="222"/>
      <c r="S29" s="222">
        <f>$E$29</f>
        <v>18618</v>
      </c>
      <c r="T29" s="222"/>
      <c r="U29" s="222">
        <f>$E$29</f>
        <v>18618</v>
      </c>
      <c r="V29" s="222"/>
      <c r="W29" s="222">
        <f>$E$29</f>
        <v>18618</v>
      </c>
      <c r="X29" s="222"/>
      <c r="Y29" s="222">
        <f>$E$29</f>
        <v>18618</v>
      </c>
      <c r="Z29" s="222"/>
      <c r="AA29" s="222">
        <f>$E$29</f>
        <v>18618</v>
      </c>
      <c r="AB29" s="222"/>
      <c r="AC29" s="222">
        <f>$E$29</f>
        <v>18618</v>
      </c>
      <c r="AD29" s="222"/>
      <c r="AE29" s="222">
        <f>$E$29</f>
        <v>18618</v>
      </c>
      <c r="AF29" s="222"/>
      <c r="AG29" s="222">
        <f>$E$29</f>
        <v>18618</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1680</v>
      </c>
      <c r="C31" s="237">
        <v>1.02</v>
      </c>
      <c r="E31" s="222">
        <f>Application!AC893</f>
        <v>206733</v>
      </c>
      <c r="F31" s="222"/>
      <c r="G31" s="222">
        <f>E31*$C$31</f>
        <v>210867.66</v>
      </c>
      <c r="H31" s="222"/>
      <c r="I31" s="222">
        <f>G31*$C$31</f>
        <v>215085.01320000002</v>
      </c>
      <c r="J31" s="222"/>
      <c r="K31" s="222">
        <f>I31*$C$31</f>
        <v>219386.71346400003</v>
      </c>
      <c r="L31" s="222"/>
      <c r="M31" s="222">
        <f>K31*$C$31</f>
        <v>223774.44773328005</v>
      </c>
      <c r="N31" s="222"/>
      <c r="O31" s="222">
        <f>M31*$C$31</f>
        <v>228249.93668794565</v>
      </c>
      <c r="P31" s="222"/>
      <c r="Q31" s="222">
        <f>O31*$C$31</f>
        <v>232814.93542170458</v>
      </c>
      <c r="R31" s="222"/>
      <c r="S31" s="222">
        <f>Q31*$C$31</f>
        <v>237471.23413013868</v>
      </c>
      <c r="T31" s="222"/>
      <c r="U31" s="222">
        <f>S31*$C$31</f>
        <v>242220.65881274146</v>
      </c>
      <c r="V31" s="222"/>
      <c r="W31" s="222">
        <f>U31*$C$31</f>
        <v>247065.07198899629</v>
      </c>
      <c r="X31" s="222"/>
      <c r="Y31" s="222">
        <f>W31*$C$31</f>
        <v>252006.37342877622</v>
      </c>
      <c r="Z31" s="222"/>
      <c r="AA31" s="222">
        <f>Y31*$C$31</f>
        <v>257046.50089735174</v>
      </c>
      <c r="AB31" s="222"/>
      <c r="AC31" s="222">
        <f>AA31*$C$31</f>
        <v>262187.43091529876</v>
      </c>
      <c r="AD31" s="222"/>
      <c r="AE31" s="222">
        <f>AC31*$C$31</f>
        <v>267431.17953360471</v>
      </c>
      <c r="AF31" s="222"/>
      <c r="AG31" s="222">
        <f>AE31*$C$31</f>
        <v>272779.8031242768</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2057494</v>
      </c>
      <c r="G35" s="223">
        <f>SUM(G22:G33)</f>
        <v>2112866.145</v>
      </c>
      <c r="I35" s="223">
        <f>SUM(I22:I33)</f>
        <v>2169891.1947749997</v>
      </c>
      <c r="K35" s="223">
        <f>SUM(K22:K33)</f>
        <v>2228621.2985861246</v>
      </c>
      <c r="M35" s="223">
        <f>SUM(M22:M33)</f>
        <v>2289110.3168705194</v>
      </c>
      <c r="O35" s="223">
        <f>SUM(O22:O33)</f>
        <v>2351413.878851545</v>
      </c>
      <c r="Q35" s="223">
        <f>SUM(Q22:Q33)</f>
        <v>2415589.4421197181</v>
      </c>
      <c r="S35" s="223">
        <f>SUM(S22:S33)</f>
        <v>2481696.3542524432</v>
      </c>
      <c r="U35" s="223">
        <f>SUM(U22:U33)</f>
        <v>2549795.9165429859</v>
      </c>
      <c r="W35" s="223">
        <f>SUM(W22:W33)</f>
        <v>2619951.4499115311</v>
      </c>
      <c r="Y35" s="223">
        <f>SUM(Y22:Y33)</f>
        <v>2692228.3630737672</v>
      </c>
      <c r="AA35" s="223">
        <f>SUM(AA22:AA33)</f>
        <v>2766694.2230449873</v>
      </c>
      <c r="AC35" s="223">
        <f>SUM(AC22:AC33)</f>
        <v>2843418.8280604728</v>
      </c>
      <c r="AE35" s="223">
        <f>SUM(AE22:AE33)</f>
        <v>2922474.2829956785</v>
      </c>
      <c r="AG35" s="223">
        <f>SUM(AG22:AG33)</f>
        <v>3003935.0773726786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1487337.9</v>
      </c>
      <c r="G37" s="223">
        <f>G11-G35</f>
        <v>1520586.5524999998</v>
      </c>
      <c r="I37" s="223">
        <f>I11-I35</f>
        <v>1554397.8201624993</v>
      </c>
      <c r="K37" s="223">
        <f>K11-K35</f>
        <v>1588774.9417248126</v>
      </c>
      <c r="M37" s="223">
        <f>M11-M35</f>
        <v>1623720.8294481901</v>
      </c>
      <c r="O37" s="223">
        <f>O11-O35</f>
        <v>1659238.0461251321</v>
      </c>
      <c r="Q37" s="223">
        <f>Q11-Q35</f>
        <v>1695328.7809813749</v>
      </c>
      <c r="S37" s="223">
        <f>S11-S35</f>
        <v>1731994.8244261774</v>
      </c>
      <c r="U37" s="223">
        <f>U11-U35</f>
        <v>1769237.541602599</v>
      </c>
      <c r="W37" s="223">
        <f>W11-W35</f>
        <v>1807057.8446876938</v>
      </c>
      <c r="Y37" s="223">
        <f>Y11-Y35</f>
        <v>1845456.1638904372</v>
      </c>
      <c r="AA37" s="223">
        <f>AA11-AA35</f>
        <v>1884432.4170933221</v>
      </c>
      <c r="AC37" s="223">
        <f>AC11-AC35</f>
        <v>1923985.9780812948</v>
      </c>
      <c r="AE37" s="223">
        <f>AE11-AE35</f>
        <v>1964115.6432996327</v>
      </c>
      <c r="AG37" s="223">
        <f>AG11-AG35</f>
        <v>2004819.5970800137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v>
      </c>
      <c r="B40" s="226"/>
      <c r="C40" s="220"/>
      <c r="E40" s="222">
        <f>Application!AF627</f>
        <v>1293336</v>
      </c>
      <c r="F40" s="222"/>
      <c r="G40" s="222">
        <f>$E$40</f>
        <v>1293336</v>
      </c>
      <c r="H40" s="222"/>
      <c r="I40" s="222">
        <f>$E$40</f>
        <v>1293336</v>
      </c>
      <c r="J40" s="222"/>
      <c r="K40" s="222">
        <f>$E$40</f>
        <v>1293336</v>
      </c>
      <c r="L40" s="222"/>
      <c r="M40" s="222">
        <f>$E$40</f>
        <v>1293336</v>
      </c>
      <c r="N40" s="222"/>
      <c r="O40" s="222">
        <f>$E$40</f>
        <v>1293336</v>
      </c>
      <c r="P40" s="222"/>
      <c r="Q40" s="222">
        <f>$E$40</f>
        <v>1293336</v>
      </c>
      <c r="R40" s="222"/>
      <c r="S40" s="222">
        <f>$E$40</f>
        <v>1293336</v>
      </c>
      <c r="T40" s="222"/>
      <c r="U40" s="222">
        <f>$E$40</f>
        <v>1293336</v>
      </c>
      <c r="V40" s="222"/>
      <c r="W40" s="222">
        <f>$E$40</f>
        <v>1293336</v>
      </c>
      <c r="X40" s="222"/>
      <c r="Y40" s="222">
        <f>$E$40</f>
        <v>1293336</v>
      </c>
      <c r="Z40" s="222"/>
      <c r="AA40" s="222">
        <f>$E$40</f>
        <v>1293336</v>
      </c>
      <c r="AB40" s="222"/>
      <c r="AC40" s="222">
        <f>$E$40</f>
        <v>1293336</v>
      </c>
      <c r="AD40" s="222"/>
      <c r="AE40" s="222">
        <f>$E$40</f>
        <v>1293336</v>
      </c>
      <c r="AF40" s="222"/>
      <c r="AG40" s="222">
        <f>$E$40</f>
        <v>1293336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1293336</v>
      </c>
      <c r="G43" s="223">
        <f>SUM(G40:G42)</f>
        <v>1293336</v>
      </c>
      <c r="I43" s="223">
        <f>SUM(I40:I42)</f>
        <v>1293336</v>
      </c>
      <c r="K43" s="223">
        <f>SUM(K40:K42)</f>
        <v>1293336</v>
      </c>
      <c r="M43" s="223">
        <f>SUM(M40:M42)</f>
        <v>1293336</v>
      </c>
      <c r="O43" s="223">
        <f>SUM(O40:O42)</f>
        <v>1293336</v>
      </c>
      <c r="Q43" s="223">
        <f>SUM(Q40:Q42)</f>
        <v>1293336</v>
      </c>
      <c r="S43" s="223">
        <f>SUM(S40:S42)</f>
        <v>1293336</v>
      </c>
      <c r="U43" s="223">
        <f>SUM(U40:U42)</f>
        <v>1293336</v>
      </c>
      <c r="W43" s="223">
        <f>SUM(W40:W42)</f>
        <v>1293336</v>
      </c>
      <c r="Y43" s="223">
        <f>SUM(Y40:Y42)</f>
        <v>1293336</v>
      </c>
      <c r="AA43" s="223">
        <f>SUM(AA40:AA42)</f>
        <v>1293336</v>
      </c>
      <c r="AC43" s="223">
        <f>SUM(AC40:AC42)</f>
        <v>1293336</v>
      </c>
      <c r="AE43" s="223">
        <f>SUM(AE40:AE42)</f>
        <v>1293336</v>
      </c>
      <c r="AG43" s="223">
        <f>SUM(AG40:AG42)</f>
        <v>1293336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194001.89999999991</v>
      </c>
      <c r="G45" s="223">
        <f>G37-G43</f>
        <v>227250.55249999976</v>
      </c>
      <c r="I45" s="223">
        <f>I37-I43</f>
        <v>261061.82016249932</v>
      </c>
      <c r="K45" s="223">
        <f>K37-K43</f>
        <v>295438.94172481261</v>
      </c>
      <c r="M45" s="223">
        <f>M37-M43</f>
        <v>330384.82944819005</v>
      </c>
      <c r="O45" s="223">
        <f>O37-O43</f>
        <v>365902.04612513212</v>
      </c>
      <c r="Q45" s="223">
        <f>Q37-Q43</f>
        <v>401992.7809813749</v>
      </c>
      <c r="S45" s="223">
        <f>S37-S43</f>
        <v>438658.82442617742</v>
      </c>
      <c r="U45" s="223">
        <f>U37-U43</f>
        <v>475901.54160259897</v>
      </c>
      <c r="W45" s="223">
        <f>W37-W43</f>
        <v>513721.84468769375</v>
      </c>
      <c r="Y45" s="223">
        <f>Y37-Y43</f>
        <v>552120.16389043722</v>
      </c>
      <c r="AA45" s="223">
        <f>AA37-AA43</f>
        <v>591096.41709332215</v>
      </c>
      <c r="AC45" s="223">
        <f>AC37-AC43</f>
        <v>630649.9780812948</v>
      </c>
      <c r="AE45" s="223">
        <f>AE37-AE43</f>
        <v>670779.64329963271</v>
      </c>
      <c r="AG45" s="223">
        <f>AG37-AG43</f>
        <v>711483.59708001371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5.1991691058749477E-2</v>
      </c>
      <c r="G47" s="227">
        <f>G45/(G4+G6+G8)</f>
        <v>5.941677045184645E-2</v>
      </c>
      <c r="I47" s="227">
        <f>I45/(I4+I6+I8)</f>
        <v>6.6592234963412586E-2</v>
      </c>
      <c r="K47" s="227">
        <f>K45/(K4+K6+K8)</f>
        <v>7.3523149542294025E-2</v>
      </c>
      <c r="M47" s="227">
        <f>M45/(M4+M6+M8)</f>
        <v>8.0214447349989337E-2</v>
      </c>
      <c r="O47" s="227">
        <f>O45/(O4+O6+O8)</f>
        <v>8.6670932886028743E-2</v>
      </c>
      <c r="Q47" s="227">
        <f>Q45/(Q4+Q6+Q8)</f>
        <v>9.2897285036291244E-2</v>
      </c>
      <c r="S47" s="227">
        <f>S45/(S4+S6+S8)</f>
        <v>9.8898060046144737E-2</v>
      </c>
      <c r="U47" s="227">
        <f>U45/(U4+U6+U8)</f>
        <v>0.10467769442021986</v>
      </c>
      <c r="W47" s="227">
        <f>W45/(W4+W6+W8)</f>
        <v>0.11024050775061468</v>
      </c>
      <c r="Y47" s="227">
        <f>Y45/(Y4+Y6+Y8)</f>
        <v>0.11559070547524931</v>
      </c>
      <c r="AA47" s="227">
        <f>AA45/(AA4+AA6+AA8)</f>
        <v>0.12073238156808339</v>
      </c>
      <c r="AC47" s="227">
        <f>AC45/(AC4+AC6+AC8)</f>
        <v>0.12566952116283414</v>
      </c>
      <c r="AE47" s="227">
        <f>AE45/(AE4+AE6+AE8)</f>
        <v>0.1304060031118193</v>
      </c>
      <c r="AG47" s="227">
        <f>AG45/(AG4+AG6+AG8)</f>
        <v>0.13494560248149301</v>
      </c>
    </row>
    <row r="48" spans="1:33" s="227" customFormat="1" ht="14.25">
      <c r="A48" s="227" t="s">
        <v>852</v>
      </c>
      <c r="C48" s="220"/>
      <c r="E48" s="227">
        <f>E45/E43</f>
        <v>0.15000115979142303</v>
      </c>
      <c r="G48" s="227">
        <f>G45/G43</f>
        <v>0.17570882779107652</v>
      </c>
      <c r="I48" s="227">
        <f>I45/I43</f>
        <v>0.20185150661738274</v>
      </c>
      <c r="K48" s="227">
        <f>K45/K43</f>
        <v>0.22843170044351399</v>
      </c>
      <c r="M48" s="227">
        <f>M45/M43</f>
        <v>0.25545166101321704</v>
      </c>
      <c r="O48" s="227">
        <f>O45/O43</f>
        <v>0.28291336986299936</v>
      </c>
      <c r="Q48" s="227">
        <f>Q45/Q43</f>
        <v>0.31081851968968227</v>
      </c>
      <c r="S48" s="227">
        <f>S45/S43</f>
        <v>0.33916849482746741</v>
      </c>
      <c r="U48" s="227">
        <f>U45/U43</f>
        <v>0.3679643507971625</v>
      </c>
      <c r="W48" s="227">
        <f>W45/W43</f>
        <v>0.39720679288885002</v>
      </c>
      <c r="Y48" s="227">
        <f>Y45/Y43</f>
        <v>0.42689615373764994</v>
      </c>
      <c r="AA48" s="227">
        <f>AA45/AA43</f>
        <v>0.45703236985077517</v>
      </c>
      <c r="AC48" s="227">
        <f>AC45/AC43</f>
        <v>0.48761495704232682</v>
      </c>
      <c r="AE48" s="227">
        <f>AE45/AE43</f>
        <v>0.51864298473067538</v>
      </c>
      <c r="AG48" s="227">
        <f>AG45/AG43</f>
        <v>0.55011504905145581</v>
      </c>
    </row>
    <row r="49" spans="1:34" s="228" customFormat="1" ht="14.25">
      <c r="A49" s="228" t="s">
        <v>850</v>
      </c>
      <c r="C49" s="229"/>
      <c r="E49" s="1260">
        <f>E37/E43</f>
        <v>1.150001159791423</v>
      </c>
      <c r="G49" s="228">
        <f>G37/G43</f>
        <v>1.1757088277910765</v>
      </c>
      <c r="I49" s="228">
        <f>I37/I43</f>
        <v>1.2018515066173827</v>
      </c>
      <c r="K49" s="228">
        <f>K37/K43</f>
        <v>1.2284317004435139</v>
      </c>
      <c r="M49" s="228">
        <f>M37/M43</f>
        <v>1.2554516610132169</v>
      </c>
      <c r="O49" s="228">
        <f>O37/O43</f>
        <v>1.2829133698629993</v>
      </c>
      <c r="Q49" s="228">
        <f>Q37/Q43</f>
        <v>1.3108185196896822</v>
      </c>
      <c r="S49" s="228">
        <f>S37/S43</f>
        <v>1.3391684948274674</v>
      </c>
      <c r="U49" s="228">
        <f>U37/U43</f>
        <v>1.3679643507971626</v>
      </c>
      <c r="W49" s="228">
        <f>W37/W43</f>
        <v>1.3972067928888501</v>
      </c>
      <c r="Y49" s="228">
        <f>Y37/Y43</f>
        <v>1.4268961537376499</v>
      </c>
      <c r="AA49" s="228">
        <f>AA37/AA43</f>
        <v>1.4570323698507752</v>
      </c>
      <c r="AC49" s="228">
        <f>AC37/AC43</f>
        <v>1.4876149570423267</v>
      </c>
      <c r="AE49" s="228">
        <f>AE37/AE43</f>
        <v>1.5186429847306753</v>
      </c>
      <c r="AG49" s="228">
        <f>AG37/AG43</f>
        <v>1.5501150490514559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2695</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f>10*Application!AG437</f>
        <v>1650</v>
      </c>
      <c r="G53" s="960">
        <f>E53*$C$53</f>
        <v>1699.5</v>
      </c>
      <c r="I53" s="960">
        <f>G53*$C$53</f>
        <v>1750.4850000000001</v>
      </c>
      <c r="K53" s="960">
        <f>I53*$C$53</f>
        <v>1802.9995500000002</v>
      </c>
      <c r="M53" s="960">
        <f>K53*$C$53</f>
        <v>1857.0895365000003</v>
      </c>
      <c r="O53" s="960">
        <f>M53*$C$53</f>
        <v>1912.8022225950003</v>
      </c>
      <c r="Q53" s="960">
        <f>O53*$C$53</f>
        <v>1970.1862892728504</v>
      </c>
      <c r="S53" s="960">
        <f>Q53*$C$53</f>
        <v>2029.291877951036</v>
      </c>
      <c r="U53" s="960">
        <f>S53*$C$53</f>
        <v>2090.1706342895673</v>
      </c>
      <c r="W53" s="960">
        <f>U53*$C$53</f>
        <v>2152.8757533182543</v>
      </c>
      <c r="Y53" s="960">
        <f>W53*$C$53</f>
        <v>2217.4620259178018</v>
      </c>
      <c r="AA53" s="960">
        <f>Y53*$C$53</f>
        <v>2283.9858866953359</v>
      </c>
      <c r="AC53" s="960">
        <f>AA53*$C$53</f>
        <v>2352.505463296196</v>
      </c>
      <c r="AE53" s="960">
        <f>AC53*$C$53</f>
        <v>2423.0806271950819</v>
      </c>
      <c r="AG53" s="960">
        <f>AE53*$C$53</f>
        <v>2495.7730460109342</v>
      </c>
    </row>
    <row r="54" spans="1:34" s="3" customFormat="1">
      <c r="A54" s="3" t="s">
        <v>855</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2705</v>
      </c>
      <c r="B56" s="966"/>
      <c r="C56" s="958"/>
      <c r="E56" s="965">
        <v>19800</v>
      </c>
      <c r="F56" s="960"/>
      <c r="G56" s="960">
        <f t="shared" si="1"/>
        <v>20394</v>
      </c>
      <c r="H56" s="960"/>
      <c r="I56" s="960">
        <f t="shared" si="1"/>
        <v>21005.82</v>
      </c>
      <c r="J56" s="960"/>
      <c r="K56" s="960">
        <f t="shared" si="1"/>
        <v>21635.994600000002</v>
      </c>
      <c r="L56" s="960"/>
      <c r="M56" s="960">
        <f t="shared" si="1"/>
        <v>22285.074438000003</v>
      </c>
      <c r="N56" s="960"/>
      <c r="O56" s="960">
        <f t="shared" si="1"/>
        <v>22953.626671140006</v>
      </c>
      <c r="P56" s="960"/>
      <c r="Q56" s="960">
        <f t="shared" si="1"/>
        <v>23642.235471274205</v>
      </c>
      <c r="R56" s="960"/>
      <c r="S56" s="960">
        <f t="shared" si="1"/>
        <v>24351.502535412434</v>
      </c>
      <c r="T56" s="960"/>
      <c r="U56" s="960">
        <f t="shared" si="1"/>
        <v>25082.047611474809</v>
      </c>
      <c r="V56" s="960"/>
      <c r="W56" s="960">
        <f t="shared" si="1"/>
        <v>25834.509039819055</v>
      </c>
      <c r="X56" s="960"/>
      <c r="Y56" s="960">
        <f t="shared" si="1"/>
        <v>26609.544311013626</v>
      </c>
      <c r="Z56" s="960"/>
      <c r="AA56" s="960">
        <f t="shared" si="1"/>
        <v>27407.830640344037</v>
      </c>
      <c r="AB56" s="960"/>
      <c r="AC56" s="960">
        <f t="shared" si="1"/>
        <v>28230.065559554358</v>
      </c>
      <c r="AD56" s="960"/>
      <c r="AE56" s="960">
        <f t="shared" si="1"/>
        <v>29076.967526340988</v>
      </c>
      <c r="AF56" s="960"/>
      <c r="AG56" s="960">
        <f t="shared" si="1"/>
        <v>29949.276552131218</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36450</v>
      </c>
      <c r="F58" s="960"/>
      <c r="G58" s="960">
        <f>SUM(G53:G57)</f>
        <v>37543.5</v>
      </c>
      <c r="H58" s="960"/>
      <c r="I58" s="960">
        <f>SUM(I53:I57)</f>
        <v>38669.805</v>
      </c>
      <c r="J58" s="960"/>
      <c r="K58" s="960">
        <f>SUM(K53:K57)</f>
        <v>39829.899149999997</v>
      </c>
      <c r="L58" s="960"/>
      <c r="M58" s="960">
        <f>SUM(M53:M57)</f>
        <v>41024.796124500004</v>
      </c>
      <c r="N58" s="960"/>
      <c r="O58" s="960">
        <f>SUM(O53:O57)</f>
        <v>42255.54000823501</v>
      </c>
      <c r="P58" s="960"/>
      <c r="Q58" s="960">
        <f>SUM(Q53:Q57)</f>
        <v>43523.20620848205</v>
      </c>
      <c r="R58" s="960"/>
      <c r="S58" s="960">
        <f>SUM(S53:S57)</f>
        <v>44828.90239473652</v>
      </c>
      <c r="T58" s="960"/>
      <c r="U58" s="960">
        <f>SUM(U53:U57)</f>
        <v>46173.769466578618</v>
      </c>
      <c r="V58" s="960"/>
      <c r="W58" s="960">
        <f>SUM(W53:W57)</f>
        <v>47558.98255057598</v>
      </c>
      <c r="X58" s="960"/>
      <c r="Y58" s="960">
        <f>SUM(Y53:Y57)</f>
        <v>48985.752027093258</v>
      </c>
      <c r="Z58" s="960"/>
      <c r="AA58" s="960">
        <f>SUM(AA53:AA57)</f>
        <v>50455.324587906056</v>
      </c>
      <c r="AB58" s="960"/>
      <c r="AC58" s="960">
        <f>SUM(AC53:AC57)</f>
        <v>51968.984325543235</v>
      </c>
      <c r="AD58" s="960"/>
      <c r="AE58" s="960">
        <f>SUM(AE53:AE57)</f>
        <v>53528.053855309539</v>
      </c>
      <c r="AF58" s="960"/>
      <c r="AG58" s="960">
        <f>SUM(AG53:AG57)</f>
        <v>55133.895470968826</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157551.89999999991</v>
      </c>
      <c r="G60" s="962">
        <f>G45-G58</f>
        <v>189707.05249999976</v>
      </c>
      <c r="I60" s="962">
        <f>I45-I58</f>
        <v>222392.01516249933</v>
      </c>
      <c r="K60" s="962">
        <f>K45-K58</f>
        <v>255609.0425748126</v>
      </c>
      <c r="M60" s="962">
        <f>M45-M58</f>
        <v>289360.03332369006</v>
      </c>
      <c r="O60" s="962">
        <f>O45-O58</f>
        <v>323646.5061168971</v>
      </c>
      <c r="Q60" s="962">
        <f>Q45-Q58</f>
        <v>358469.57477289287</v>
      </c>
      <c r="S60" s="962">
        <f>S45-S58</f>
        <v>393829.92203144089</v>
      </c>
      <c r="U60" s="962">
        <f>U45-U58</f>
        <v>429727.77213602036</v>
      </c>
      <c r="W60" s="962">
        <f>W45-W58</f>
        <v>466162.86213711777</v>
      </c>
      <c r="Y60" s="962">
        <f>Y45-Y58</f>
        <v>503134.41186334396</v>
      </c>
      <c r="AA60" s="962">
        <f>AA45-AA58</f>
        <v>540641.09250541613</v>
      </c>
      <c r="AC60" s="962">
        <f>AC45-AC58</f>
        <v>578680.99375575152</v>
      </c>
      <c r="AE60" s="962">
        <f>AE45-AE58</f>
        <v>617251.58944432321</v>
      </c>
      <c r="AG60" s="962">
        <f>AG45-AG58</f>
        <v>656349.70160904492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157551.89999999991</v>
      </c>
      <c r="G62" s="962">
        <f>G60*$C$62</f>
        <v>189707.05249999976</v>
      </c>
      <c r="I62" s="962">
        <f>I60*$C$62</f>
        <v>222392.01516249933</v>
      </c>
      <c r="K62" s="962">
        <f>K60*$C$62</f>
        <v>255609.0425748126</v>
      </c>
      <c r="M62" s="962">
        <f>M60*$C$62</f>
        <v>289360.03332369006</v>
      </c>
      <c r="O62" s="962">
        <f>O60*$C$62</f>
        <v>323646.5061168971</v>
      </c>
      <c r="Q62" s="962">
        <f>Q60*$C$62</f>
        <v>358469.57477289287</v>
      </c>
      <c r="S62" s="962">
        <f>S60*$C$62</f>
        <v>393829.92203144089</v>
      </c>
      <c r="U62" s="962">
        <f>U60*$C$62</f>
        <v>429727.77213602036</v>
      </c>
      <c r="W62" s="962">
        <f>W60*$C$62</f>
        <v>466162.86213711777</v>
      </c>
      <c r="Y62" s="962">
        <f>Y60*$C$62</f>
        <v>503134.41186334396</v>
      </c>
      <c r="AA62" s="962">
        <f>AA60*$C$62</f>
        <v>540641.09250541613</v>
      </c>
      <c r="AC62" s="962">
        <f>AC60*$C$62</f>
        <v>578680.99375575152</v>
      </c>
      <c r="AE62" s="962">
        <f>AE60*$C$62</f>
        <v>617251.58944432321</v>
      </c>
      <c r="AG62" s="962">
        <f>Application!AO631-SUM('15 Year Pro Forma'!E62:AE62)</f>
        <v>106781.23167579435</v>
      </c>
    </row>
    <row r="63" spans="1:34" s="962" customFormat="1">
      <c r="A63" s="2693" t="s">
        <v>2695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549568.46993325057</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1" t="s">
        <v>1720</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Owners Hard Cost</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42240000</v>
      </c>
      <c r="C31" s="266">
        <f>'Sources and Uses Budget'!$C30</f>
        <v>42240000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Utility Work</v>
      </c>
      <c r="B38" s="266">
        <f>'Sources and Uses Budget'!$C37</f>
        <v>305000</v>
      </c>
      <c r="C38" s="266">
        <f>'Sources and Uses Budget'!$C37</f>
        <v>305000</v>
      </c>
      <c r="D38" s="270">
        <f t="shared" si="0"/>
        <v>0</v>
      </c>
      <c r="E38" s="268"/>
      <c r="F38" s="267"/>
    </row>
    <row r="39" spans="1:6" s="352" customFormat="1">
      <c r="A39" s="271" t="s">
        <v>143</v>
      </c>
      <c r="B39" s="270">
        <f>SUM(B30:B38)</f>
        <v>42545000</v>
      </c>
      <c r="C39" s="270">
        <f>SUM(C30:C38)</f>
        <v>42545000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2443961</v>
      </c>
      <c r="C41" s="266">
        <f>'Sources and Uses Budget'!$C40</f>
        <v>2443961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2443961</v>
      </c>
      <c r="C43" s="270">
        <f>SUM(C41:C42)</f>
        <v>2443961</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3589731</v>
      </c>
      <c r="C46" s="266">
        <f>'Sources and Uses Budget'!$C45</f>
        <v>3589731</v>
      </c>
      <c r="D46" s="270">
        <f t="shared" si="0"/>
        <v>0</v>
      </c>
      <c r="E46" s="268"/>
      <c r="F46" s="267"/>
    </row>
    <row r="47" spans="1:6" s="352" customFormat="1">
      <c r="A47" s="145" t="s">
        <v>151</v>
      </c>
      <c r="B47" s="266">
        <f>'Sources and Uses Budget'!$C46</f>
        <v>345988</v>
      </c>
      <c r="C47" s="266">
        <f>'Sources and Uses Budget'!$C46</f>
        <v>345988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56118</v>
      </c>
      <c r="C50" s="266">
        <f>'Sources and Uses Budget'!$C49</f>
        <v>56118</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2341794</v>
      </c>
      <c r="C53" s="266">
        <f>'Sources and Uses Budget'!$C52</f>
        <v>2341794</v>
      </c>
      <c r="D53" s="270">
        <f t="shared" si="0"/>
        <v>0</v>
      </c>
      <c r="E53" s="268"/>
      <c r="F53" s="267"/>
    </row>
    <row r="54" spans="1:6" s="352" customFormat="1">
      <c r="A54" s="155" t="str">
        <f>'Sources and Uses Budget'!A53</f>
        <v>Other: Bond Underwriting Fees</v>
      </c>
      <c r="B54" s="266">
        <f>'Sources and Uses Budget'!$C53</f>
        <v>500000</v>
      </c>
      <c r="C54" s="266">
        <f>'Sources and Uses Budget'!$C53</f>
        <v>500000</v>
      </c>
      <c r="D54" s="270">
        <f t="shared" si="0"/>
        <v>0</v>
      </c>
      <c r="E54" s="268"/>
      <c r="F54" s="267"/>
    </row>
    <row r="55" spans="1:6" s="353" customFormat="1">
      <c r="A55" s="271" t="s">
        <v>157</v>
      </c>
      <c r="B55" s="273">
        <f>SUM(B46:B54)</f>
        <v>6883631</v>
      </c>
      <c r="C55" s="273">
        <f>SUM(C46:C54)</f>
        <v>6883631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198391</v>
      </c>
      <c r="C57" s="266">
        <f>'Sources and Uses Budget'!$C56</f>
        <v>198391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Loan Closing Costs</v>
      </c>
      <c r="B62" s="266">
        <f>'Sources and Uses Budget'!$C61</f>
        <v>174196</v>
      </c>
      <c r="C62" s="266">
        <f>'Sources and Uses Budget'!$C61</f>
        <v>174196</v>
      </c>
      <c r="D62" s="270">
        <f t="shared" si="0"/>
        <v>0</v>
      </c>
      <c r="E62" s="268"/>
      <c r="F62" s="267"/>
    </row>
    <row r="63" spans="1:6" s="352" customFormat="1" ht="13.7" customHeight="1">
      <c r="A63" s="271" t="s">
        <v>301</v>
      </c>
      <c r="B63" s="270">
        <f>SUM(B57:B62)</f>
        <v>372587</v>
      </c>
      <c r="C63" s="270">
        <f>SUM(C57:C62)</f>
        <v>372587</v>
      </c>
      <c r="D63" s="270">
        <f t="shared" si="0"/>
        <v>0</v>
      </c>
      <c r="E63" s="268"/>
      <c r="F63" s="267"/>
    </row>
    <row r="64" spans="1:6" s="352" customFormat="1">
      <c r="A64" s="274" t="s">
        <v>302</v>
      </c>
      <c r="B64" s="270">
        <f>SUM(B9+B12+B14+B15+B17+B26+B28+B39+B43+B44+B55+B63)</f>
        <v>52245179</v>
      </c>
      <c r="C64" s="270">
        <f>SUM(C9+C12+C14+C15+C17+C26+C28+C39+C43+C44+C55+C63)</f>
        <v>52245179</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15000</v>
      </c>
      <c r="C68" s="266">
        <f>'Sources and Uses Budget'!$C67</f>
        <v>15000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195000</v>
      </c>
      <c r="C70" s="266">
        <f>'Sources and Uses Budget'!$C69</f>
        <v>195000</v>
      </c>
      <c r="D70" s="270">
        <f t="shared" si="0"/>
        <v>0</v>
      </c>
      <c r="E70" s="268"/>
      <c r="F70" s="267"/>
    </row>
    <row r="71" spans="1:6" s="352" customFormat="1">
      <c r="A71" s="149" t="s">
        <v>1644</v>
      </c>
      <c r="B71" s="270">
        <f>SUM(B66:B70)</f>
        <v>210000</v>
      </c>
      <c r="C71" s="270">
        <f>SUM(C66:C70)</f>
        <v>210000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746315</v>
      </c>
      <c r="C76" s="266">
        <f>'Sources and Uses Budget'!$C75</f>
        <v>746315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746315</v>
      </c>
      <c r="C78" s="270">
        <f>SUM(C73:C77)</f>
        <v>746315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2112000</v>
      </c>
      <c r="C80" s="266">
        <f>'Sources and Uses Budget'!$C79</f>
        <v>2112000</v>
      </c>
      <c r="D80" s="270">
        <f t="shared" si="1"/>
        <v>0</v>
      </c>
      <c r="E80" s="268"/>
      <c r="F80" s="267"/>
    </row>
    <row r="81" spans="1:6" s="352" customFormat="1">
      <c r="A81" s="510" t="s">
        <v>58</v>
      </c>
      <c r="B81" s="266">
        <f>'Sources and Uses Budget'!$C80</f>
        <v>1752738</v>
      </c>
      <c r="C81" s="266">
        <f>'Sources and Uses Budget'!$C80</f>
        <v>1752738</v>
      </c>
      <c r="D81" s="270">
        <f>C81-B81</f>
        <v>0</v>
      </c>
      <c r="E81" s="268"/>
      <c r="F81" s="267"/>
    </row>
    <row r="82" spans="1:6" s="352" customFormat="1">
      <c r="A82" s="271" t="s">
        <v>1208</v>
      </c>
      <c r="B82" s="270">
        <f>SUM(B80:B81)</f>
        <v>3864738</v>
      </c>
      <c r="C82" s="270">
        <f>SUM(C80:C81)</f>
        <v>3864738</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200000</v>
      </c>
      <c r="C84" s="266">
        <f>'Sources and Uses Budget'!$C83</f>
        <v>200000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1586862</v>
      </c>
      <c r="C86" s="266">
        <f>'Sources and Uses Budget'!$C85</f>
        <v>1586862</v>
      </c>
      <c r="D86" s="270">
        <f t="shared" si="1"/>
        <v>0</v>
      </c>
      <c r="E86" s="268"/>
      <c r="F86" s="267"/>
    </row>
    <row r="87" spans="1:6" s="352" customFormat="1">
      <c r="A87" s="269" t="s">
        <v>769</v>
      </c>
      <c r="B87" s="266">
        <f>'Sources and Uses Budget'!$C86</f>
        <v>4247134</v>
      </c>
      <c r="C87" s="266">
        <f>'Sources and Uses Budget'!$C86</f>
        <v>4247134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v>
      </c>
      <c r="C89" s="266">
        <f>'Sources and Uses Budget'!$C88</f>
        <v>10000</v>
      </c>
      <c r="D89" s="270">
        <f t="shared" si="1"/>
        <v>0</v>
      </c>
      <c r="E89" s="268"/>
      <c r="F89" s="267"/>
    </row>
    <row r="90" spans="1:6" s="352" customFormat="1">
      <c r="A90" s="269" t="s">
        <v>772</v>
      </c>
      <c r="B90" s="266">
        <f>'Sources and Uses Budget'!$C89</f>
        <v>132000</v>
      </c>
      <c r="C90" s="266">
        <f>'Sources and Uses Budget'!$C89</f>
        <v>132000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90000</v>
      </c>
      <c r="C94" s="266">
        <f>'Sources and Uses Budget'!$C93</f>
        <v>90000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100000</v>
      </c>
      <c r="C96" s="266">
        <f>'Sources and Uses Budget'!$C95</f>
        <v>100000</v>
      </c>
      <c r="D96" s="270">
        <f t="shared" si="1"/>
        <v>0</v>
      </c>
      <c r="E96" s="268"/>
      <c r="F96" s="267"/>
    </row>
    <row r="97" spans="1:6" s="352" customFormat="1">
      <c r="A97" s="271" t="s">
        <v>774</v>
      </c>
      <c r="B97" s="270">
        <f>SUM(B84:B96)</f>
        <v>6480996</v>
      </c>
      <c r="C97" s="270">
        <f>SUM(C84:C96)</f>
        <v>6480996</v>
      </c>
      <c r="D97" s="270">
        <f t="shared" si="1"/>
        <v>0</v>
      </c>
      <c r="E97" s="268"/>
      <c r="F97" s="267"/>
    </row>
    <row r="98" spans="1:6" s="352" customFormat="1">
      <c r="A98" s="271" t="s">
        <v>775</v>
      </c>
      <c r="B98" s="270">
        <f>SUM(B64+B71+B78+B82+B97)</f>
        <v>63547228</v>
      </c>
      <c r="C98" s="270">
        <f>SUM(C64+C71+C78+C82+C97)</f>
        <v>63547228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9149419</v>
      </c>
      <c r="C100" s="266">
        <f>'Sources and Uses Budget'!$C99</f>
        <v>9149419</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9149419</v>
      </c>
      <c r="C105" s="270">
        <f>SUM(C100:C104)</f>
        <v>9149419</v>
      </c>
      <c r="D105" s="270">
        <f t="shared" si="1"/>
        <v>0</v>
      </c>
      <c r="E105" s="268"/>
      <c r="F105" s="267"/>
    </row>
    <row r="106" spans="1:6" s="352" customFormat="1">
      <c r="A106" s="271" t="s">
        <v>780</v>
      </c>
      <c r="B106" s="273">
        <f>SUM(B98+B105)</f>
        <v>72696647</v>
      </c>
      <c r="C106" s="273">
        <f>SUM(C98+C105)</f>
        <v>72696647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1188</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1189</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70" t="s">
        <v>2044</v>
      </c>
      <c r="B72" s="1270"/>
      <c r="C72" s="1270"/>
      <c r="D72" s="1270"/>
      <c r="E72" s="1270"/>
    </row>
    <row r="73" spans="1:9" ht="12.75">
      <c r="A73" s="1270" t="s">
        <v>2045</v>
      </c>
      <c r="B73" s="1270"/>
      <c r="C73" s="1270"/>
      <c r="D73" s="1270"/>
      <c r="E73" s="1270"/>
    </row>
    <row r="74" spans="1:9" ht="12.75">
      <c r="A74" s="1270" t="s">
        <v>1870</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56" workbookViewId="0">
      <selection activeCell="F1085" sqref="F108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2458</v>
      </c>
      <c r="B2" s="1332"/>
      <c r="C2" s="1332"/>
      <c r="D2" s="1332"/>
      <c r="E2" s="1332"/>
      <c r="F2" s="1332"/>
      <c r="G2" s="1332"/>
      <c r="H2" s="1332"/>
      <c r="I2" s="1332"/>
    </row>
    <row r="3" spans="1:13">
      <c r="A3" s="1320" t="s">
        <v>2218</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2217</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ht="14.25">
      <c r="A15" s="484"/>
      <c r="B15" s="485" t="s">
        <v>2720</v>
      </c>
      <c r="C15" s="483"/>
      <c r="D15" s="1302" t="s">
        <v>1921</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1919</v>
      </c>
      <c r="F18" s="445"/>
      <c r="I18" s="490"/>
    </row>
    <row r="19" spans="1:9">
      <c r="A19" s="483"/>
      <c r="B19" s="483"/>
      <c r="C19" s="483"/>
      <c r="I19" s="490"/>
    </row>
    <row r="20" spans="1:9" ht="14.25">
      <c r="A20" s="484"/>
      <c r="B20" s="485" t="s">
        <v>2720</v>
      </c>
      <c r="D20" s="1302" t="s">
        <v>1922</v>
      </c>
      <c r="E20" s="1302"/>
      <c r="F20" s="1302"/>
      <c r="I20" s="490"/>
    </row>
    <row r="21" spans="1:9" ht="14.25">
      <c r="A21" s="484"/>
      <c r="D21" s="1302"/>
      <c r="E21" s="1302"/>
      <c r="F21" s="1302"/>
      <c r="I21" s="490"/>
    </row>
    <row r="22" spans="1:9" ht="14.25">
      <c r="A22" s="484"/>
      <c r="D22" s="392"/>
      <c r="E22" s="96" t="s">
        <v>1918</v>
      </c>
      <c r="F22" s="392"/>
      <c r="I22" s="490"/>
    </row>
    <row r="23" spans="1:9" ht="14.25">
      <c r="A23" s="484"/>
      <c r="B23" s="484"/>
      <c r="D23" s="446"/>
      <c r="I23" s="490"/>
    </row>
    <row r="24" spans="1:9" ht="14.25">
      <c r="A24" s="484"/>
      <c r="B24" s="485" t="s">
        <v>2721</v>
      </c>
      <c r="D24" s="1302" t="s">
        <v>1090</v>
      </c>
      <c r="E24" s="1302"/>
      <c r="F24" s="1302"/>
      <c r="I24" s="490"/>
    </row>
    <row r="25" spans="1:9" ht="14.25">
      <c r="A25" s="484"/>
      <c r="B25" s="484"/>
      <c r="D25" s="1302"/>
      <c r="E25" s="1302"/>
      <c r="F25" s="1302"/>
      <c r="I25" s="490"/>
    </row>
    <row r="26" spans="1:9">
      <c r="I26" s="490"/>
    </row>
    <row r="27" spans="1:9" ht="14.25">
      <c r="A27" s="484"/>
      <c r="B27" s="485" t="s">
        <v>2721</v>
      </c>
      <c r="D27" s="1302" t="s">
        <v>2047</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2721</v>
      </c>
      <c r="D33" s="1302" t="s">
        <v>2048</v>
      </c>
      <c r="E33" s="1302"/>
      <c r="F33" s="1302"/>
      <c r="I33" s="490"/>
    </row>
    <row r="34" spans="1:9">
      <c r="D34" s="1302"/>
      <c r="E34" s="1302"/>
      <c r="F34" s="1302"/>
      <c r="I34" s="490"/>
    </row>
    <row r="35" spans="1:9" ht="14.25">
      <c r="A35" s="484"/>
      <c r="B35" s="484"/>
      <c r="D35" s="447"/>
      <c r="I35" s="490"/>
    </row>
    <row r="36" spans="1:9" ht="14.45" customHeight="1">
      <c r="A36" s="484"/>
      <c r="B36" s="485" t="s">
        <v>2721</v>
      </c>
      <c r="D36" s="1302" t="s">
        <v>1213</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2721</v>
      </c>
      <c r="D41" s="1302" t="s">
        <v>1091</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2721</v>
      </c>
      <c r="D47" s="1302" t="s">
        <v>1092</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2721</v>
      </c>
      <c r="D52" s="1302" t="s">
        <v>1093</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2720</v>
      </c>
      <c r="D56" s="1325" t="s">
        <v>1094</v>
      </c>
      <c r="E56" s="1325"/>
      <c r="F56" s="1325"/>
      <c r="I56" s="490"/>
    </row>
    <row r="57" spans="1:9" ht="14.25">
      <c r="A57" s="484"/>
      <c r="B57" s="484"/>
      <c r="D57" s="1325"/>
      <c r="E57" s="1325"/>
      <c r="F57" s="1325"/>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2720</v>
      </c>
      <c r="D61" s="1302" t="s">
        <v>1095</v>
      </c>
      <c r="E61" s="1302"/>
      <c r="F61" s="1302"/>
      <c r="I61" s="490"/>
    </row>
    <row r="62" spans="1:9">
      <c r="D62" s="1302"/>
      <c r="E62" s="1302"/>
      <c r="F62" s="1302"/>
      <c r="I62" s="490"/>
    </row>
    <row r="63" spans="1:9">
      <c r="D63" s="1302"/>
      <c r="E63" s="1302"/>
      <c r="F63" s="1302"/>
      <c r="I63" s="490"/>
    </row>
    <row r="64" spans="1:9">
      <c r="I64" s="490"/>
    </row>
    <row r="65" spans="1:9" ht="14.25">
      <c r="A65" s="484"/>
      <c r="B65" s="485" t="s">
        <v>2721</v>
      </c>
      <c r="D65" s="1302" t="s">
        <v>1096</v>
      </c>
      <c r="E65" s="1302"/>
      <c r="F65" s="1302"/>
      <c r="I65" s="490"/>
    </row>
    <row r="66" spans="1:9">
      <c r="D66" s="1302"/>
      <c r="E66" s="1302"/>
      <c r="F66" s="1302"/>
      <c r="I66" s="490"/>
    </row>
    <row r="67" spans="1:9">
      <c r="I67" s="490"/>
    </row>
    <row r="68" spans="1:9" ht="14.25">
      <c r="A68" s="484"/>
      <c r="B68" s="485" t="s">
        <v>2721</v>
      </c>
      <c r="D68" s="1302" t="s">
        <v>1097</v>
      </c>
      <c r="E68" s="1302"/>
      <c r="F68" s="1302"/>
      <c r="I68" s="490"/>
    </row>
    <row r="69" spans="1:9">
      <c r="D69" s="1302"/>
      <c r="E69" s="1302"/>
      <c r="F69" s="1302"/>
      <c r="I69" s="490"/>
    </row>
    <row r="70" spans="1:9">
      <c r="D70" s="1302"/>
      <c r="E70" s="1302"/>
      <c r="F70" s="1302"/>
      <c r="I70" s="490"/>
    </row>
    <row r="71" spans="1:9">
      <c r="I71" s="490"/>
    </row>
    <row r="72" spans="1:9" ht="14.25">
      <c r="A72" s="484"/>
      <c r="B72" s="485" t="s">
        <v>2720</v>
      </c>
      <c r="D72" s="1302" t="s">
        <v>1098</v>
      </c>
      <c r="E72" s="1302"/>
      <c r="F72" s="1302"/>
      <c r="I72" s="490"/>
    </row>
    <row r="73" spans="1:9">
      <c r="D73" s="1302"/>
      <c r="E73" s="1302"/>
      <c r="F73" s="1302"/>
      <c r="I73" s="490"/>
    </row>
    <row r="74" spans="1:9" ht="14.25">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 customHeight="1">
      <c r="A80" s="484"/>
      <c r="B80" s="485" t="s">
        <v>2720</v>
      </c>
      <c r="D80" s="1302" t="s">
        <v>1244</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2720</v>
      </c>
      <c r="D89" s="1302" t="s">
        <v>1741</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2720</v>
      </c>
      <c r="D92" s="1302" t="s">
        <v>1744</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2720</v>
      </c>
      <c r="D96" s="1302" t="s">
        <v>1743</v>
      </c>
      <c r="E96" s="1302"/>
      <c r="F96" s="1302"/>
      <c r="I96" s="490"/>
    </row>
    <row r="97" spans="1:9" s="987" customFormat="1" ht="14.25">
      <c r="A97" s="985"/>
      <c r="B97" s="985"/>
      <c r="C97" s="986"/>
      <c r="D97" s="1302"/>
      <c r="E97" s="1302"/>
      <c r="F97" s="1302"/>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2721</v>
      </c>
      <c r="D100" s="1302" t="s">
        <v>1742</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2721</v>
      </c>
      <c r="D103" s="1302" t="s">
        <v>1193</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2721</v>
      </c>
      <c r="D119" s="1324" t="s">
        <v>1102</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2720</v>
      </c>
      <c r="C128" s="402"/>
      <c r="D128" s="1324" t="s">
        <v>2049</v>
      </c>
      <c r="E128" s="1324"/>
      <c r="F128" s="1324"/>
      <c r="I128" s="490"/>
    </row>
    <row r="129" spans="1:9" ht="14.25">
      <c r="A129" s="484"/>
      <c r="B129" s="484"/>
      <c r="C129" s="402"/>
      <c r="D129" s="1324"/>
      <c r="E129" s="1324"/>
      <c r="F129" s="1324"/>
      <c r="I129" s="490"/>
    </row>
    <row r="130" spans="1:9">
      <c r="I130" s="490"/>
    </row>
    <row r="131" spans="1:9" ht="14.25">
      <c r="A131" s="484"/>
      <c r="B131" s="485" t="s">
        <v>2720</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2720</v>
      </c>
      <c r="D137" s="1302" t="s">
        <v>1104</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2720</v>
      </c>
      <c r="D151" s="1302" t="s">
        <v>1176</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2072</v>
      </c>
      <c r="E169" s="1321"/>
      <c r="F169" s="1321"/>
      <c r="G169" s="507"/>
      <c r="I169" s="490"/>
    </row>
    <row r="170" spans="1:9" ht="13.7" customHeight="1">
      <c r="D170" s="1319"/>
      <c r="E170" s="1319"/>
      <c r="F170" s="1319"/>
      <c r="G170" s="1319"/>
      <c r="I170" s="490"/>
    </row>
    <row r="171" spans="1:9" ht="14.45" customHeight="1">
      <c r="A171" s="489"/>
      <c r="B171" s="485" t="s">
        <v>2720</v>
      </c>
      <c r="C171" s="476"/>
      <c r="D171" s="1273" t="s">
        <v>2212</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2721</v>
      </c>
      <c r="C177" s="476"/>
      <c r="D177" s="1273" t="s">
        <v>1105</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2721</v>
      </c>
      <c r="D182" s="1314" t="s">
        <v>2050</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2051</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1874</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2720</v>
      </c>
      <c r="D197" s="1289" t="s">
        <v>1746</v>
      </c>
      <c r="E197" s="1289"/>
      <c r="F197" s="1289"/>
      <c r="I197" s="490"/>
    </row>
    <row r="198" spans="1:9">
      <c r="A198" s="404"/>
      <c r="B198" s="404"/>
      <c r="D198" s="1288" t="s">
        <v>1901</v>
      </c>
      <c r="E198" s="1288"/>
      <c r="F198" s="1288"/>
      <c r="I198" s="490"/>
    </row>
    <row r="199" spans="1:9">
      <c r="A199" s="404"/>
      <c r="B199" s="404"/>
      <c r="D199" s="96" t="s">
        <v>1747</v>
      </c>
      <c r="E199" s="1326" t="s">
        <v>1924</v>
      </c>
      <c r="F199" s="1326"/>
      <c r="I199" s="490"/>
    </row>
    <row r="200" spans="1:9">
      <c r="A200" s="404"/>
      <c r="B200" s="404"/>
      <c r="D200" s="3"/>
      <c r="E200" s="3"/>
      <c r="F200" s="3"/>
      <c r="I200" s="490"/>
    </row>
    <row r="201" spans="1:9">
      <c r="A201" s="404"/>
      <c r="B201" s="485" t="s">
        <v>2721</v>
      </c>
      <c r="D201" s="1288" t="s">
        <v>1748</v>
      </c>
      <c r="E201" s="1288"/>
      <c r="F201" s="1288"/>
      <c r="I201" s="490"/>
    </row>
    <row r="202" spans="1:9">
      <c r="A202" s="404"/>
      <c r="B202" s="404"/>
      <c r="D202" s="1289" t="s">
        <v>1901</v>
      </c>
      <c r="E202" s="1289"/>
      <c r="F202" s="1289"/>
      <c r="I202" s="490"/>
    </row>
    <row r="203" spans="1:9">
      <c r="A203" s="404"/>
      <c r="B203" s="404"/>
      <c r="D203" s="57" t="s">
        <v>1749</v>
      </c>
      <c r="E203" s="1326" t="s">
        <v>1925</v>
      </c>
      <c r="F203" s="1326"/>
      <c r="I203" s="490"/>
    </row>
    <row r="204" spans="1:9">
      <c r="A204" s="404"/>
      <c r="B204" s="404"/>
      <c r="D204" s="3"/>
      <c r="E204" s="3"/>
      <c r="F204" s="3"/>
      <c r="I204" s="490"/>
    </row>
    <row r="205" spans="1:9">
      <c r="A205" s="404"/>
      <c r="B205" s="485" t="s">
        <v>2721</v>
      </c>
      <c r="D205" s="1288" t="s">
        <v>1750</v>
      </c>
      <c r="E205" s="1288"/>
      <c r="F205" s="1288"/>
      <c r="I205" s="490"/>
    </row>
    <row r="206" spans="1:9">
      <c r="A206" s="404"/>
      <c r="B206" s="404"/>
      <c r="D206" s="1289" t="s">
        <v>1901</v>
      </c>
      <c r="E206" s="1289"/>
      <c r="F206" s="1289"/>
      <c r="I206" s="490"/>
    </row>
    <row r="207" spans="1:9">
      <c r="A207" s="404"/>
      <c r="B207" s="404"/>
      <c r="D207" s="57" t="s">
        <v>1747</v>
      </c>
      <c r="E207" s="1326" t="s">
        <v>1926</v>
      </c>
      <c r="F207" s="1326"/>
      <c r="I207" s="490"/>
    </row>
    <row r="208" spans="1:9">
      <c r="A208" s="404"/>
      <c r="B208" s="404"/>
      <c r="D208" s="392"/>
      <c r="E208" s="392"/>
      <c r="F208" s="392"/>
      <c r="I208" s="490"/>
    </row>
    <row r="209" spans="1:9" ht="14.25" customHeight="1">
      <c r="A209" s="484"/>
      <c r="B209" s="485" t="s">
        <v>2721</v>
      </c>
      <c r="D209" s="386" t="s">
        <v>1894</v>
      </c>
      <c r="E209" s="385"/>
      <c r="F209" s="385"/>
      <c r="I209" s="490"/>
    </row>
    <row r="210" spans="1:9" ht="14.25">
      <c r="A210" s="484"/>
      <c r="B210" s="484"/>
      <c r="D210" s="1289" t="s">
        <v>1901</v>
      </c>
      <c r="E210" s="1289"/>
      <c r="F210" s="1289"/>
      <c r="I210" s="490"/>
    </row>
    <row r="211" spans="1:9">
      <c r="D211" s="385"/>
      <c r="E211" s="1326" t="s">
        <v>1927</v>
      </c>
      <c r="F211" s="1326"/>
      <c r="I211" s="490"/>
    </row>
    <row r="212" spans="1:9">
      <c r="D212" s="447"/>
      <c r="I212" s="490"/>
    </row>
    <row r="213" spans="1:9">
      <c r="B213" s="485" t="s">
        <v>2721</v>
      </c>
      <c r="D213" s="1288" t="s">
        <v>1751</v>
      </c>
      <c r="E213" s="1288"/>
      <c r="F213" s="1288"/>
      <c r="I213" s="490"/>
    </row>
    <row r="214" spans="1:9">
      <c r="D214" s="1289" t="s">
        <v>1901</v>
      </c>
      <c r="E214" s="1289"/>
      <c r="F214" s="1289"/>
      <c r="I214" s="490"/>
    </row>
    <row r="215" spans="1:9">
      <c r="D215" s="57" t="s">
        <v>1747</v>
      </c>
      <c r="E215" s="1326" t="s">
        <v>1928</v>
      </c>
      <c r="F215" s="1326"/>
      <c r="I215" s="490"/>
    </row>
    <row r="216" spans="1:9">
      <c r="D216" s="451"/>
      <c r="E216" s="451"/>
      <c r="F216" s="451"/>
      <c r="I216" s="490"/>
    </row>
    <row r="217" spans="1:9" ht="14.25">
      <c r="A217" s="484"/>
      <c r="B217" s="485" t="s">
        <v>2721</v>
      </c>
      <c r="D217" s="1302" t="s">
        <v>1215</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2720</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2720</v>
      </c>
      <c r="D233" s="1302" t="s">
        <v>1753</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1117</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2721</v>
      </c>
      <c r="D245" s="1302" t="s">
        <v>2052</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2721</v>
      </c>
      <c r="D250" s="1302" t="s">
        <v>2053</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2720</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2720</v>
      </c>
      <c r="D259" s="1302" t="s">
        <v>1118</v>
      </c>
      <c r="E259" s="1302"/>
      <c r="F259" s="1302"/>
      <c r="I259" s="490"/>
    </row>
    <row r="260" spans="1:9" ht="14.25">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2720</v>
      </c>
      <c r="D267" s="1302" t="s">
        <v>1195</v>
      </c>
      <c r="E267" s="1302"/>
      <c r="F267" s="1302"/>
      <c r="I267" s="490"/>
    </row>
    <row r="268" spans="1:9">
      <c r="D268" s="1302"/>
      <c r="E268" s="1302"/>
      <c r="F268" s="1302"/>
      <c r="I268" s="490"/>
    </row>
    <row r="269" spans="1:9">
      <c r="E269" s="1036" t="s">
        <v>1897</v>
      </c>
      <c r="I269" s="490"/>
    </row>
    <row r="270" spans="1:9">
      <c r="D270" s="446"/>
      <c r="E270" s="446"/>
      <c r="F270" s="446"/>
      <c r="I270" s="490"/>
    </row>
    <row r="271" spans="1:9" ht="14.45" customHeight="1">
      <c r="A271" s="484"/>
      <c r="B271" s="485" t="s">
        <v>2721</v>
      </c>
      <c r="D271" s="1302" t="s">
        <v>2055</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2721</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1123</v>
      </c>
      <c r="E288" s="1327"/>
      <c r="F288" s="1327"/>
      <c r="I288" s="490"/>
    </row>
    <row r="289" spans="1:9">
      <c r="E289" s="446"/>
      <c r="F289" s="446"/>
      <c r="I289" s="490"/>
    </row>
    <row r="290" spans="1:9" ht="14.25">
      <c r="A290" s="484"/>
      <c r="B290" s="485" t="s">
        <v>2721</v>
      </c>
      <c r="D290" s="1302" t="s">
        <v>1124</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2721</v>
      </c>
      <c r="D293" s="1302" t="s">
        <v>1125</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2721</v>
      </c>
      <c r="D297" s="1302" t="s">
        <v>1126</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1127</v>
      </c>
      <c r="E303" s="1300"/>
      <c r="F303" s="1300"/>
      <c r="I303" s="490"/>
    </row>
    <row r="304" spans="1:9">
      <c r="C304" s="490"/>
      <c r="D304" s="493"/>
      <c r="I304" s="490"/>
    </row>
    <row r="305" spans="1:9">
      <c r="B305" s="485" t="s">
        <v>2721</v>
      </c>
      <c r="D305" s="1300" t="s">
        <v>1128</v>
      </c>
      <c r="E305" s="1300"/>
      <c r="F305" s="1300"/>
      <c r="I305" s="490"/>
    </row>
    <row r="306" spans="1:9" ht="14.25">
      <c r="A306" s="484"/>
      <c r="B306" s="484"/>
      <c r="D306" s="494"/>
      <c r="E306" s="495"/>
      <c r="F306" s="495"/>
      <c r="I306" s="490"/>
    </row>
    <row r="307" spans="1:9" ht="13.7" customHeight="1">
      <c r="B307" s="485" t="s">
        <v>2721</v>
      </c>
      <c r="D307" s="1311" t="s">
        <v>1218</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2721</v>
      </c>
      <c r="D313" s="1311" t="s">
        <v>1129</v>
      </c>
      <c r="E313" s="1311"/>
      <c r="F313" s="1311"/>
      <c r="I313" s="490"/>
    </row>
    <row r="314" spans="1:9">
      <c r="D314" s="1311"/>
      <c r="E314" s="1311"/>
      <c r="F314" s="1311"/>
      <c r="I314" s="490"/>
    </row>
    <row r="315" spans="1:9" ht="14.25">
      <c r="A315" s="484"/>
      <c r="B315" s="484"/>
      <c r="D315" s="494"/>
      <c r="E315" s="495"/>
      <c r="F315" s="495"/>
      <c r="I315" s="490"/>
    </row>
    <row r="316" spans="1:9">
      <c r="B316" s="485" t="s">
        <v>2721</v>
      </c>
      <c r="D316" s="1300" t="s">
        <v>1130</v>
      </c>
      <c r="E316" s="1300"/>
      <c r="F316" s="1300"/>
      <c r="I316" s="490"/>
    </row>
    <row r="317" spans="1:9">
      <c r="E317" s="446"/>
      <c r="F317" s="446"/>
      <c r="I317" s="490"/>
    </row>
    <row r="318" spans="1:9" ht="14.25">
      <c r="A318" s="484"/>
      <c r="B318" s="485" t="s">
        <v>2721</v>
      </c>
      <c r="D318" s="1302" t="s">
        <v>2245</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2721</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2721</v>
      </c>
      <c r="D344" s="1302" t="s">
        <v>1902</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2246</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2721</v>
      </c>
      <c r="C355" s="487"/>
      <c r="D355" s="1300" t="s">
        <v>1900</v>
      </c>
      <c r="E355" s="1300"/>
      <c r="F355" s="1300"/>
      <c r="I355" s="490"/>
    </row>
    <row r="356" spans="1:9" ht="12.75" customHeight="1">
      <c r="D356" s="1037"/>
      <c r="E356" s="96" t="s">
        <v>1899</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ht="14.25">
      <c r="A360" s="484"/>
      <c r="B360" s="485" t="s">
        <v>2721</v>
      </c>
      <c r="C360" s="476"/>
      <c r="D360" s="1319" t="s">
        <v>2056</v>
      </c>
      <c r="E360" s="1319"/>
      <c r="F360" s="1319"/>
      <c r="I360" s="480"/>
    </row>
    <row r="361" spans="1:9">
      <c r="A361" s="476"/>
      <c r="B361" s="476"/>
      <c r="C361" s="476"/>
      <c r="D361" s="447"/>
      <c r="E361" s="447"/>
      <c r="F361" s="446"/>
      <c r="I361" s="490"/>
    </row>
    <row r="362" spans="1:9">
      <c r="A362" s="476"/>
      <c r="B362" s="485" t="s">
        <v>2721</v>
      </c>
      <c r="C362" s="476"/>
      <c r="D362" s="1273" t="s">
        <v>2057</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2721</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2721</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2721</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2721</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2721</v>
      </c>
      <c r="D423" s="1273" t="s">
        <v>1881</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2721</v>
      </c>
      <c r="C429" s="476"/>
      <c r="D429" s="1273" t="s">
        <v>1239</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2073</v>
      </c>
      <c r="E433" s="1273"/>
      <c r="F433" s="1273"/>
      <c r="I433" s="490"/>
    </row>
    <row r="434" spans="1:9">
      <c r="D434" s="446"/>
      <c r="E434" s="446"/>
      <c r="F434" s="446"/>
      <c r="I434" s="490"/>
    </row>
    <row r="435" spans="1:9" ht="14.25">
      <c r="A435" s="484"/>
      <c r="B435" s="485" t="s">
        <v>2721</v>
      </c>
      <c r="C435" s="487"/>
      <c r="D435" s="1302" t="s">
        <v>2058</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2721</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2721</v>
      </c>
      <c r="C471" s="484"/>
      <c r="D471" s="1302" t="s">
        <v>1196</v>
      </c>
      <c r="E471" s="1302"/>
      <c r="F471" s="1302"/>
      <c r="I471" s="490"/>
    </row>
    <row r="472" spans="1:9">
      <c r="D472" s="1302"/>
      <c r="E472" s="1302"/>
      <c r="F472" s="1302"/>
      <c r="I472" s="490"/>
    </row>
    <row r="473" spans="1:9">
      <c r="D473" s="446"/>
      <c r="E473" s="446"/>
      <c r="F473" s="446"/>
      <c r="I473" s="490"/>
    </row>
    <row r="474" spans="1:9" ht="14.25">
      <c r="B474" s="485" t="s">
        <v>2721</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2721</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2721</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2721</v>
      </c>
      <c r="C486" s="402"/>
      <c r="D486" s="1302"/>
      <c r="E486" s="1302"/>
      <c r="F486" s="1302"/>
      <c r="I486" s="490"/>
    </row>
    <row r="487" spans="1:9">
      <c r="A487" s="402"/>
      <c r="C487" s="402"/>
      <c r="D487" s="1302"/>
      <c r="E487" s="1302"/>
      <c r="F487" s="1302"/>
      <c r="I487" s="490"/>
    </row>
    <row r="488" spans="1:9">
      <c r="A488" s="402"/>
      <c r="B488" s="485" t="s">
        <v>2721</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2721</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ht="14.25">
      <c r="A499" s="484"/>
      <c r="B499" s="484"/>
      <c r="D499" s="1319" t="s">
        <v>1140</v>
      </c>
      <c r="E499" s="1319"/>
      <c r="F499" s="1319"/>
      <c r="I499" s="490"/>
    </row>
    <row r="500" spans="1:9" ht="14.25">
      <c r="A500" s="484"/>
      <c r="B500" s="484"/>
      <c r="D500" s="447"/>
      <c r="I500" s="490"/>
    </row>
    <row r="501" spans="1:9" ht="14.25">
      <c r="A501" s="484"/>
      <c r="B501" s="485" t="s">
        <v>2721</v>
      </c>
      <c r="D501" s="1273" t="s">
        <v>1141</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2721</v>
      </c>
      <c r="D504" s="1314" t="s">
        <v>1272</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2721</v>
      </c>
      <c r="D509" s="1300" t="s">
        <v>1142</v>
      </c>
      <c r="E509" s="1300"/>
      <c r="F509" s="1300"/>
      <c r="I509" s="490"/>
    </row>
    <row r="510" spans="1:9" ht="14.25">
      <c r="A510" s="484"/>
      <c r="B510" s="484"/>
      <c r="D510" s="446"/>
      <c r="I510" s="490"/>
    </row>
    <row r="511" spans="1:9" ht="14.25">
      <c r="A511" s="484"/>
      <c r="B511" s="485" t="s">
        <v>2721</v>
      </c>
      <c r="D511" s="1302" t="s">
        <v>1143</v>
      </c>
      <c r="E511" s="1302"/>
      <c r="F511" s="1302"/>
      <c r="I511" s="490"/>
    </row>
    <row r="512" spans="1:9" ht="14.25">
      <c r="A512" s="484"/>
      <c r="D512" s="1302"/>
      <c r="E512" s="1302"/>
      <c r="F512" s="1302"/>
      <c r="I512" s="490"/>
    </row>
    <row r="513" spans="1:9">
      <c r="A513" s="490"/>
      <c r="B513" s="490"/>
      <c r="D513" s="447"/>
      <c r="I513" s="490"/>
    </row>
    <row r="514" spans="1:9">
      <c r="A514" s="490"/>
      <c r="B514" s="485" t="s">
        <v>2721</v>
      </c>
      <c r="D514" s="1300" t="s">
        <v>1144</v>
      </c>
      <c r="E514" s="1300"/>
      <c r="F514" s="1300"/>
      <c r="I514" s="490"/>
    </row>
    <row r="515" spans="1:9">
      <c r="D515" s="446"/>
      <c r="E515" s="446"/>
      <c r="F515" s="446"/>
      <c r="I515" s="490"/>
    </row>
    <row r="516" spans="1:9">
      <c r="B516" s="485" t="s">
        <v>2721</v>
      </c>
      <c r="D516" s="1302" t="s">
        <v>2280</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2720</v>
      </c>
      <c r="C527" s="483"/>
      <c r="D527" s="1273" t="s">
        <v>2059</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2721</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2721</v>
      </c>
      <c r="C536" s="483"/>
      <c r="D536" s="1302" t="s">
        <v>2061</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1080</v>
      </c>
      <c r="E546" s="1300"/>
      <c r="F546" s="1300"/>
      <c r="I546" s="490"/>
    </row>
    <row r="547" spans="1:9">
      <c r="C547" s="487"/>
      <c r="D547" s="446"/>
      <c r="E547" s="446"/>
      <c r="F547" s="446"/>
      <c r="I547" s="490"/>
    </row>
    <row r="548" spans="1:9" ht="13.7" customHeight="1">
      <c r="A548" s="484"/>
      <c r="B548" s="485" t="s">
        <v>2720</v>
      </c>
      <c r="C548" s="487"/>
      <c r="D548" s="1300" t="s">
        <v>884</v>
      </c>
      <c r="E548" s="1300"/>
      <c r="F548" s="1300"/>
      <c r="I548" s="490"/>
    </row>
    <row r="549" spans="1:9" ht="13.7" customHeight="1">
      <c r="A549" s="487"/>
      <c r="B549" s="487"/>
      <c r="C549" s="487"/>
      <c r="D549" s="446"/>
      <c r="I549" s="490"/>
    </row>
    <row r="550" spans="1:9" ht="14.25">
      <c r="A550" s="484"/>
      <c r="B550" s="485" t="s">
        <v>2720</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2720</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2720</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2720</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2721</v>
      </c>
      <c r="C563" s="487"/>
      <c r="D563" s="1302" t="s">
        <v>2247</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2720</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2720</v>
      </c>
      <c r="C569" s="487"/>
      <c r="D569" s="1300" t="s">
        <v>1086</v>
      </c>
      <c r="E569" s="1300"/>
      <c r="F569" s="1300"/>
      <c r="I569" s="490"/>
    </row>
    <row r="570" spans="1:9">
      <c r="A570" s="490"/>
      <c r="B570" s="490"/>
      <c r="C570" s="487"/>
      <c r="D570" s="1300" t="s">
        <v>1906</v>
      </c>
      <c r="E570" s="1300"/>
      <c r="F570" s="1300"/>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2720</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2720</v>
      </c>
      <c r="C578" s="487"/>
      <c r="D578" s="1302" t="s">
        <v>2062</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2720</v>
      </c>
      <c r="D588" s="1314" t="s">
        <v>888</v>
      </c>
      <c r="E588" s="1314"/>
      <c r="F588" s="1314"/>
      <c r="I588" s="490"/>
    </row>
    <row r="589" spans="1:9">
      <c r="A589" s="490"/>
      <c r="B589" s="490"/>
      <c r="D589" s="476"/>
      <c r="I589" s="490"/>
    </row>
    <row r="590" spans="1:9">
      <c r="A590" s="490"/>
      <c r="B590" s="485" t="s">
        <v>2720</v>
      </c>
      <c r="D590" s="1314" t="s">
        <v>2063</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2721</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2720</v>
      </c>
      <c r="D599" s="1314" t="s">
        <v>2064</v>
      </c>
      <c r="E599" s="1314"/>
      <c r="F599" s="1314"/>
      <c r="I599" s="490"/>
    </row>
    <row r="600" spans="1:9">
      <c r="A600" s="490"/>
      <c r="B600" s="490"/>
      <c r="D600" s="1314"/>
      <c r="E600" s="1314"/>
      <c r="F600" s="1314"/>
      <c r="I600" s="490"/>
    </row>
    <row r="601" spans="1:9">
      <c r="A601" s="490"/>
      <c r="B601" s="490"/>
      <c r="D601" s="499"/>
      <c r="I601" s="490"/>
    </row>
    <row r="602" spans="1:9">
      <c r="A602" s="490"/>
      <c r="B602" s="485" t="s">
        <v>2721</v>
      </c>
      <c r="D602" s="1314" t="s">
        <v>1068</v>
      </c>
      <c r="E602" s="1314"/>
      <c r="F602" s="1314"/>
      <c r="I602" s="490"/>
    </row>
    <row r="603" spans="1:9">
      <c r="A603" s="490"/>
      <c r="B603" s="490"/>
      <c r="D603" s="1314"/>
      <c r="E603" s="1314"/>
      <c r="F603" s="1314"/>
      <c r="I603" s="490"/>
    </row>
    <row r="604" spans="1:9" ht="14.25">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2720</v>
      </c>
      <c r="D610" s="1315" t="s">
        <v>1907</v>
      </c>
      <c r="E610" s="1315"/>
      <c r="F610" s="1315"/>
      <c r="I610" s="490"/>
    </row>
    <row r="611" spans="1:9">
      <c r="D611" s="1315"/>
      <c r="E611" s="1315"/>
      <c r="F611" s="1315"/>
      <c r="I611" s="490"/>
    </row>
    <row r="612" spans="1:9">
      <c r="D612" s="385"/>
      <c r="E612" s="1036" t="s">
        <v>1908</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2720</v>
      </c>
      <c r="D620" s="1308" t="s">
        <v>1110</v>
      </c>
      <c r="E620" s="1308"/>
      <c r="F620" s="1308"/>
      <c r="I620" s="490"/>
    </row>
    <row r="621" spans="1:9">
      <c r="D621" s="1308"/>
      <c r="E621" s="1308"/>
      <c r="F621" s="1308"/>
      <c r="I621" s="490"/>
    </row>
    <row r="622" spans="1:9">
      <c r="I622" s="490"/>
    </row>
    <row r="623" spans="1:9">
      <c r="B623" s="485" t="s">
        <v>2720</v>
      </c>
      <c r="D623" s="1308" t="s">
        <v>1111</v>
      </c>
      <c r="E623" s="1308"/>
      <c r="F623" s="1308"/>
      <c r="I623" s="490"/>
    </row>
    <row r="624" spans="1:9">
      <c r="C624" s="500"/>
      <c r="D624" s="1308"/>
      <c r="E624" s="1308"/>
      <c r="F624" s="1308"/>
      <c r="I624" s="490"/>
    </row>
    <row r="625" spans="1:9">
      <c r="C625" s="500"/>
      <c r="I625" s="490"/>
    </row>
    <row r="626" spans="1:9">
      <c r="B626" s="485" t="s">
        <v>2721</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2720</v>
      </c>
      <c r="D633" s="1315" t="s">
        <v>2065</v>
      </c>
      <c r="E633" s="1315"/>
      <c r="F633" s="1315"/>
      <c r="I633" s="490"/>
    </row>
    <row r="634" spans="1:9">
      <c r="D634" s="1315"/>
      <c r="E634" s="1315"/>
      <c r="F634" s="1315"/>
      <c r="I634" s="490"/>
    </row>
    <row r="635" spans="1:9">
      <c r="D635" s="385"/>
      <c r="E635" s="1036" t="s">
        <v>1910</v>
      </c>
      <c r="F635" s="385"/>
      <c r="I635" s="490"/>
    </row>
    <row r="636" spans="1:9">
      <c r="D636" s="1302" t="s">
        <v>1909</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2721</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2721</v>
      </c>
      <c r="C643" s="487"/>
      <c r="D643" s="1302" t="s">
        <v>1224</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307</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2721</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2721</v>
      </c>
      <c r="C658" s="487"/>
      <c r="D658" s="1302" t="s">
        <v>1282</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2721</v>
      </c>
      <c r="C664" s="487"/>
      <c r="D664" s="1302" t="s">
        <v>1281</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2721</v>
      </c>
      <c r="C669" s="487"/>
      <c r="D669" s="1302" t="s">
        <v>2066</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ht="14.25">
      <c r="A685" s="484"/>
      <c r="B685" s="485" t="s">
        <v>2721</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2721</v>
      </c>
      <c r="C690" s="483"/>
      <c r="D690" s="1302" t="s">
        <v>2067</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2721</v>
      </c>
      <c r="C694" s="483"/>
      <c r="D694" s="1300" t="s">
        <v>917</v>
      </c>
      <c r="E694" s="1300"/>
      <c r="F694" s="1300"/>
      <c r="H694" s="501"/>
      <c r="I694" s="483"/>
      <c r="J694" s="501"/>
      <c r="K694" s="501"/>
    </row>
    <row r="695" spans="1:11" ht="14.25">
      <c r="A695" s="484"/>
      <c r="B695" s="484"/>
      <c r="C695" s="483"/>
      <c r="D695" s="1300" t="s">
        <v>894</v>
      </c>
      <c r="E695" s="1300"/>
      <c r="F695" s="1300"/>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2721</v>
      </c>
      <c r="C698" s="483"/>
      <c r="D698" s="1300" t="s">
        <v>2469</v>
      </c>
      <c r="E698" s="1300"/>
      <c r="F698" s="1300"/>
      <c r="H698" s="501"/>
      <c r="I698" s="483"/>
      <c r="J698" s="501"/>
      <c r="K698" s="501"/>
    </row>
    <row r="699" spans="1:11" ht="14.25">
      <c r="A699" s="484"/>
      <c r="B699" s="484"/>
      <c r="C699" s="483"/>
      <c r="D699" s="1300" t="s">
        <v>894</v>
      </c>
      <c r="E699" s="1300"/>
      <c r="F699" s="1300"/>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2721</v>
      </c>
      <c r="C702" s="483"/>
      <c r="D702" s="1302" t="s">
        <v>2244</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2721</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2721</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2721</v>
      </c>
      <c r="C725" s="483"/>
      <c r="D725" s="1302" t="s">
        <v>2462</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2721</v>
      </c>
      <c r="C729" s="483"/>
      <c r="D729" s="1302" t="s">
        <v>2461</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2721</v>
      </c>
      <c r="C733" s="483"/>
      <c r="D733" s="1302" t="s">
        <v>2460</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2721</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2721</v>
      </c>
      <c r="C744" s="483"/>
      <c r="D744" s="1302" t="s">
        <v>2145</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2074</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2720</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2721</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2721</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2721</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2721</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2720</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2721</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2721</v>
      </c>
      <c r="C794" s="989"/>
      <c r="D794" s="1295" t="s">
        <v>1757</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2721</v>
      </c>
      <c r="C798" s="989"/>
      <c r="D798" s="1295" t="s">
        <v>1758</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1801</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2721</v>
      </c>
      <c r="C808" s="989"/>
      <c r="D808" s="1295" t="s">
        <v>1759</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2721</v>
      </c>
      <c r="C815" s="989"/>
      <c r="D815" s="1295" t="s">
        <v>1760</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2721</v>
      </c>
      <c r="C822" s="989"/>
      <c r="D822" s="1290" t="s">
        <v>1761</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2720</v>
      </c>
      <c r="C834" s="989"/>
      <c r="D834" s="1263" t="s">
        <v>1764</v>
      </c>
      <c r="E834" s="1263"/>
      <c r="F834" s="1263"/>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2075</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2720</v>
      </c>
      <c r="C848" s="989"/>
      <c r="D848" s="1263" t="s">
        <v>1765</v>
      </c>
      <c r="E848" s="1263"/>
      <c r="F848" s="1263"/>
      <c r="G848" s="3"/>
      <c r="I848" s="490" t="s">
        <v>1882</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2721</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2068</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2721</v>
      </c>
      <c r="C861" s="989"/>
      <c r="D861" s="1263" t="s">
        <v>1767</v>
      </c>
      <c r="E861" s="1263"/>
      <c r="F861" s="1263"/>
      <c r="G861" s="3"/>
      <c r="I861" s="490" t="s">
        <v>1880</v>
      </c>
    </row>
    <row r="862" spans="1:9" ht="12.75" customHeight="1">
      <c r="A862" s="175"/>
      <c r="B862" s="175"/>
      <c r="C862" s="989"/>
      <c r="D862" s="1263" t="s">
        <v>1768</v>
      </c>
      <c r="E862" s="1263"/>
      <c r="F862" s="1263"/>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2721</v>
      </c>
      <c r="C865" s="989"/>
      <c r="D865" s="1263" t="s">
        <v>1769</v>
      </c>
      <c r="E865" s="1263"/>
      <c r="F865" s="1263"/>
      <c r="G865" s="3"/>
      <c r="I865" s="490" t="s">
        <v>1883</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2720</v>
      </c>
      <c r="C875" s="354"/>
      <c r="D875" s="1289" t="s">
        <v>1772</v>
      </c>
      <c r="E875" s="1289"/>
      <c r="F875" s="1289"/>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2720</v>
      </c>
      <c r="C878" s="354"/>
      <c r="D878" s="1263" t="s">
        <v>1773</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2721</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2068</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2721</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2721</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2720</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2720</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2720</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2721</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2721</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2721</v>
      </c>
      <c r="C930" s="989"/>
      <c r="D930" s="1289" t="s">
        <v>2069</v>
      </c>
      <c r="E930" s="1289"/>
      <c r="F930" s="1289"/>
      <c r="G930" s="988"/>
      <c r="I930" s="490"/>
    </row>
    <row r="931" spans="1:9" ht="12.75" customHeight="1">
      <c r="A931" s="989"/>
      <c r="B931" s="989"/>
      <c r="C931" s="989"/>
      <c r="D931" s="118"/>
      <c r="E931" s="988"/>
      <c r="F931" s="988"/>
      <c r="G931" s="988"/>
      <c r="I931" s="490"/>
    </row>
    <row r="932" spans="1:9" ht="12.75" customHeight="1">
      <c r="A932" s="989"/>
      <c r="B932" s="485" t="s">
        <v>2721</v>
      </c>
      <c r="C932" s="989"/>
      <c r="D932" s="1289" t="s">
        <v>2070</v>
      </c>
      <c r="E932" s="1289"/>
      <c r="F932" s="1289"/>
      <c r="G932" s="988"/>
      <c r="I932" s="490"/>
    </row>
    <row r="933" spans="1:9" ht="12.75" customHeight="1">
      <c r="A933" s="174"/>
      <c r="B933" s="174"/>
      <c r="C933" s="174"/>
      <c r="D933" s="2"/>
      <c r="E933" s="3"/>
      <c r="F933" s="988"/>
      <c r="G933" s="988"/>
      <c r="I933" s="490"/>
    </row>
    <row r="934" spans="1:9" ht="12.75" customHeight="1">
      <c r="A934" s="997"/>
      <c r="B934" s="485" t="s">
        <v>2720</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2720</v>
      </c>
      <c r="C944" s="174"/>
      <c r="D944" s="1298" t="s">
        <v>1886</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2720</v>
      </c>
      <c r="C952" s="174"/>
      <c r="D952" s="1273" t="s">
        <v>2137</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2721</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2721</v>
      </c>
      <c r="C964" s="174"/>
      <c r="D964" s="1274" t="s">
        <v>1885</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2721</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2721</v>
      </c>
      <c r="C973" s="354"/>
      <c r="D973" s="1263" t="s">
        <v>2071</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2720</v>
      </c>
      <c r="C994" s="354"/>
      <c r="D994" s="1297" t="s">
        <v>1915</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2721</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2721</v>
      </c>
      <c r="C1007" s="174"/>
      <c r="D1007" s="1263" t="s">
        <v>2230</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2721</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2721</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2720</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2720</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2721</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2720</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2721</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2721</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2720</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307</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2248</v>
      </c>
      <c r="E1045" s="1288"/>
      <c r="F1045" s="1288"/>
      <c r="G1045" s="98"/>
      <c r="I1045" s="490"/>
    </row>
    <row r="1046" spans="1:9" ht="12.75" customHeight="1">
      <c r="A1046" s="175"/>
      <c r="B1046" s="485" t="s">
        <v>2721</v>
      </c>
      <c r="C1046" s="354"/>
      <c r="D1046" s="1288" t="s">
        <v>984</v>
      </c>
      <c r="E1046" s="1288"/>
      <c r="F1046" s="128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2721</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2720</v>
      </c>
      <c r="C1062" s="402"/>
      <c r="D1062" s="402" t="s">
        <v>1811</v>
      </c>
      <c r="I1062" s="490"/>
    </row>
    <row r="1063" spans="1:9">
      <c r="A1063" s="402"/>
      <c r="B1063" s="402"/>
      <c r="C1063" s="402"/>
      <c r="I1063" s="490"/>
    </row>
    <row r="1064" spans="1:9">
      <c r="A1064" s="402"/>
      <c r="B1064" s="485" t="s">
        <v>2720</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2720</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2721</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2721</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2721</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2721</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2721</v>
      </c>
      <c r="C1101" s="402"/>
      <c r="D1101" s="1293" t="s">
        <v>1929</v>
      </c>
      <c r="E1101" s="1293"/>
      <c r="F1101" s="1293"/>
      <c r="I1101" s="490"/>
    </row>
    <row r="1102" spans="1:9">
      <c r="A1102" s="402"/>
      <c r="B1102" s="402"/>
      <c r="C1102" s="402"/>
      <c r="D1102" s="1293"/>
      <c r="E1102" s="1293"/>
      <c r="F1102" s="1293"/>
      <c r="I1102" s="490"/>
    </row>
    <row r="1103" spans="1:9">
      <c r="A1103" s="402"/>
      <c r="B1103" s="402"/>
      <c r="C1103" s="402"/>
      <c r="D1103" s="1294" t="s">
        <v>2143</v>
      </c>
      <c r="E1103" s="1263"/>
      <c r="F1103" s="1263"/>
      <c r="I1103" s="490"/>
    </row>
    <row r="1104" spans="1:9">
      <c r="A1104" s="402"/>
      <c r="B1104" s="402"/>
      <c r="C1104" s="402"/>
      <c r="D1104" s="527"/>
      <c r="I1104" s="490"/>
    </row>
    <row r="1105" spans="1:9">
      <c r="A1105" s="402"/>
      <c r="B1105" s="485" t="s">
        <v>2721</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2721</v>
      </c>
      <c r="C1108" s="402"/>
      <c r="D1108" s="1291" t="s">
        <v>1887</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2721</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2720</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2721</v>
      </c>
      <c r="C1123" s="402"/>
      <c r="D1123" s="1263" t="s">
        <v>1889</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869" workbookViewId="0">
      <selection activeCell="AA919" sqref="AA919:AF91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17</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2.95"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2.95"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41</v>
      </c>
    </row>
    <row r="12" spans="1:58" ht="12.95"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2.95" customHeight="1">
      <c r="A13" s="1261" t="s">
        <v>2077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2504</v>
      </c>
      <c r="BE13" s="1249">
        <f>SUMIF($AC$718:$AC$752,"&lt;=60%",$G$718:G$752)-SUM($BE$5:BE12)</f>
        <v>105</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2078</v>
      </c>
      <c r="C16" s="4"/>
      <c r="D16" s="4"/>
      <c r="E16" s="4"/>
      <c r="F16" s="4"/>
      <c r="G16" s="4"/>
      <c r="H16" s="1420" t="s">
        <v>2672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Antioch Hillcrest</v>
      </c>
    </row>
    <row r="17" spans="1:58" ht="12.95" customHeight="1">
      <c r="BD17" s="1247" t="s">
        <v>2519</v>
      </c>
      <c r="BE17" s="1249">
        <f>Application!AA934</f>
        <v>0</v>
      </c>
    </row>
    <row r="18" spans="1:58" ht="12.95" customHeight="1">
      <c r="A18" s="57" t="s">
        <v>101</v>
      </c>
      <c r="C18" s="4"/>
      <c r="D18" s="4"/>
      <c r="E18" s="4"/>
      <c r="F18" s="4"/>
      <c r="G18" s="4"/>
      <c r="H18" s="1417" t="s">
        <v>2611</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2.95" customHeight="1">
      <c r="BD19" s="1247" t="s">
        <v>2521</v>
      </c>
      <c r="BE19" s="1249">
        <f>Application!M26</f>
        <v>3647568</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0</v>
      </c>
    </row>
    <row r="21" spans="1:58" ht="12.95" customHeight="1">
      <c r="A21" s="1422" t="s">
        <v>1008</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37236565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72696647</v>
      </c>
      <c r="BF22" s="3" t="s">
        <v>2596</v>
      </c>
    </row>
    <row r="23" spans="1:58" ht="12.95" customHeight="1">
      <c r="A23" s="1293" t="s">
        <v>2146</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2524</v>
      </c>
      <c r="BE23" s="1249">
        <f>'Sources and Uses Budget'!B4</f>
        <v>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2525</v>
      </c>
      <c r="BE24" s="1249">
        <f>Application!AG450</f>
        <v>155302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19">
        <f>'Basis &amp; Credits'!AB56</f>
        <v>3647568</v>
      </c>
      <c r="N26" s="1419"/>
      <c r="O26" s="1419"/>
      <c r="P26" s="1419"/>
      <c r="Q26" s="1419"/>
      <c r="R26" s="4" t="s">
        <v>759</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1277</v>
      </c>
      <c r="C33" s="519"/>
      <c r="D33" s="519"/>
      <c r="E33" s="519"/>
      <c r="F33" s="519"/>
      <c r="G33" s="519"/>
      <c r="H33" s="519"/>
      <c r="I33" s="519"/>
      <c r="J33" s="519"/>
      <c r="K33" s="519"/>
      <c r="L33" s="519"/>
      <c r="M33" s="519"/>
      <c r="N33" s="519"/>
      <c r="O33" s="1333" t="s">
        <v>669</v>
      </c>
      <c r="P33" s="1333"/>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East Bay Region: Alameda and Contra Costa Counties</v>
      </c>
    </row>
    <row r="34" spans="1:57" ht="12.95"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Hillcrest Avenue Tract 5494, Lot 56</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 xml:space="preserve">West of Hillcrest Avenue, South of Shaddick Drive, and East of Harris Drive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Antioch</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Contra Costa</v>
      </c>
    </row>
    <row r="38" spans="1:57" ht="12.95" customHeight="1">
      <c r="A38" s="3"/>
      <c r="AZ38" s="20"/>
      <c r="BD38" s="1248" t="s">
        <v>2535</v>
      </c>
      <c r="BE38" s="1249">
        <f>Application!I190</f>
        <v>94531</v>
      </c>
    </row>
    <row r="39" spans="1:57" ht="12.95" customHeight="1">
      <c r="A39" s="1263" t="s">
        <v>2150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2536</v>
      </c>
      <c r="BE39" s="1249">
        <f>Application!AG437</f>
        <v>165</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163</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2537</v>
      </c>
      <c r="BE42" s="1251">
        <f>Application!AC753</f>
        <v>0.54355828220858893</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2538</v>
      </c>
      <c r="BE43" s="1251">
        <f>Application!AH753</f>
        <v>0.54364556184249491</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2539</v>
      </c>
      <c r="BE44" s="1249">
        <f>Application!AC454</f>
        <v>440585.73939393938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3" t="s">
        <v>2151</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2541</v>
      </c>
      <c r="BE46" s="1249"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2542</v>
      </c>
      <c r="BE47" s="1249" t="b">
        <f>Application!T196="Yes"</f>
        <v>1</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2543</v>
      </c>
      <c r="BE48" s="1249" t="str">
        <f>Application!M243</f>
        <v>Hillcrest Antioch Investor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2544</v>
      </c>
      <c r="BE49" s="1249" t="str">
        <f>Application!M246</f>
        <v>Kim Borja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Cypress Equity Investments LLC</v>
      </c>
    </row>
    <row r="51" spans="1:57" ht="12.95" customHeight="1">
      <c r="A51" s="1263" t="s">
        <v>2152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2546</v>
      </c>
      <c r="BE51" s="1249" t="str">
        <f>Application!M251</f>
        <v>Pacific Housing, Inc.</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2547</v>
      </c>
      <c r="BE52" s="1249" t="str">
        <f>Application!M254</f>
        <v>Mat Eland</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Pacific Housing, Inc.</v>
      </c>
    </row>
    <row r="54" spans="1:57" ht="12.95" customHeight="1">
      <c r="A54" s="1263" t="s">
        <v>2153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2549</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2550</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2551</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2552</v>
      </c>
      <c r="BE57" s="1249" t="str">
        <f>Application!H287</f>
        <v>Cypress Equity Investments LLC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2553</v>
      </c>
      <c r="BE58" s="1249" t="str">
        <f>Application!H288</f>
        <v>12121 Wilshire Blvd, Suite 801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90025</v>
      </c>
    </row>
    <row r="60" spans="1:57" ht="12.95" customHeight="1">
      <c r="A60" s="1263" t="s">
        <v>2154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2555</v>
      </c>
      <c r="BE60" s="1249" t="str">
        <f>Application!H290</f>
        <v>Kim Borja</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2556</v>
      </c>
      <c r="BE61" s="1249" t="str">
        <f>Application!H293</f>
        <v>kim@cypressequity.com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0.86317536800000005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$500M</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9" t="s">
        <v>2159</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2568</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2569</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3" t="s">
        <v>2161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2576</v>
      </c>
      <c r="BE83" s="1253">
        <f>'Tie Breaker'!H5</f>
        <v>1.4308454346830071</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2577</v>
      </c>
      <c r="BE84" s="1249" t="str">
        <f>Application!O153</f>
        <v>City of Antioch</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Teri House</v>
      </c>
    </row>
    <row r="86" spans="1:57" ht="12.95" customHeight="1">
      <c r="A86" s="1263" t="s">
        <v>2162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2579</v>
      </c>
      <c r="BE86" s="1249" t="str">
        <f>Application!O155</f>
        <v>CDBG/Housing Consultant</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2580</v>
      </c>
      <c r="BE87" s="1249" t="str">
        <f>Application!O156</f>
        <v>200 H Street, 2nd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Antioch</v>
      </c>
    </row>
    <row r="89" spans="1:57" ht="12.95" customHeight="1">
      <c r="A89" s="1788" t="s">
        <v>2163</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2582</v>
      </c>
      <c r="BE89" s="1249">
        <f>Application!O158</f>
        <v>94509</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2583</v>
      </c>
      <c r="BE90" s="1249" t="str">
        <f>Application!H16</f>
        <v>Hillcrest Antioch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12121 Wilshire Blvd, Suite 801</v>
      </c>
    </row>
    <row r="92" spans="1:57" ht="12.95" customHeight="1">
      <c r="A92" s="1789" t="s">
        <v>2164</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2585</v>
      </c>
      <c r="BE92" s="1249" t="str">
        <f>Application!M234</f>
        <v>Los Angeles</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2586</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2587</v>
      </c>
      <c r="BE94" s="1249">
        <f>Application!AC234</f>
        <v>90025</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2588</v>
      </c>
      <c r="BE95" s="1249" t="str">
        <f>Application!M235</f>
        <v>Kim Borja</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2589</v>
      </c>
      <c r="BE96" s="1249" t="str">
        <f>Application!M237</f>
        <v>kim@cypressequity.com</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2590</v>
      </c>
      <c r="BE97" s="1249" t="str">
        <f>Application!M248</f>
        <v>kim@cypressequity.com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2591</v>
      </c>
      <c r="BE98" s="1249" t="str">
        <f>Application!M256</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90" t="s">
        <v>2165</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2593</v>
      </c>
      <c r="BE100" s="1249" t="str">
        <f>Application!L279</f>
        <v>kim@cypressequity.com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2598</v>
      </c>
      <c r="BE101">
        <f>'Sources and Uses Budget'!C105</f>
        <v>72696647</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2599</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2166</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t="s">
        <v>2708</v>
      </c>
      <c r="H113" s="1791"/>
      <c r="I113" s="3" t="s">
        <v>182</v>
      </c>
      <c r="L113" s="1791" t="s">
        <v>2709</v>
      </c>
      <c r="M113" s="1791"/>
      <c r="N113" s="1791"/>
      <c r="O113" s="1791"/>
      <c r="P113" s="1797" t="s">
        <v>2240</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494</v>
      </c>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t="s">
        <v>2706</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Contra Costa</v>
      </c>
      <c r="DH122" s="1655"/>
      <c r="DI122" s="1655"/>
      <c r="DJ122" s="1655"/>
      <c r="DK122" s="1655"/>
      <c r="DL122" s="1655"/>
      <c r="DM122" s="1656"/>
    </row>
    <row r="123" spans="1:117" ht="12.95" customHeight="1">
      <c r="A123" s="3"/>
      <c r="B123" s="3"/>
      <c r="T123" s="3"/>
      <c r="U123" s="3"/>
      <c r="V123" s="3"/>
      <c r="W123" s="3"/>
      <c r="X123" s="3"/>
      <c r="Y123" s="1791" t="s">
        <v>2707</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645</v>
      </c>
      <c r="O153" s="1417" t="s">
        <v>2619</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46" t="s">
        <v>2684</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0" t="s">
        <v>2685</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2686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2614</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94509</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t="s">
        <v>2687</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3" t="s">
        <v>2688</v>
      </c>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7" t="s">
        <v>2689</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3" t="s">
        <v>2216</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3" t="s">
        <v>669</v>
      </c>
      <c r="V175" s="1333"/>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426"/>
      <c r="V176" s="1426"/>
      <c r="W176" s="1" t="s">
        <v>306</v>
      </c>
      <c r="X176" s="1786"/>
      <c r="Y176" s="1786"/>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3" t="s">
        <v>669</v>
      </c>
      <c r="S177" s="1333"/>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2079</v>
      </c>
      <c r="AE178" s="27" t="s">
        <v>305</v>
      </c>
      <c r="AF178" s="1785"/>
      <c r="AG178" s="1785"/>
      <c r="AH178" s="1" t="s">
        <v>306</v>
      </c>
      <c r="AI178" s="1806"/>
      <c r="AJ178" s="1806"/>
      <c r="AK178" s="1806"/>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333" t="s">
        <v>669</v>
      </c>
      <c r="Y180" s="1333"/>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9" t="str">
        <f>H18</f>
        <v>Antioch Hillcrest</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9" t="s">
        <v>2612</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t="s">
        <v>2613</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7" t="s">
        <v>2614</v>
      </c>
      <c r="J189" s="1372"/>
      <c r="K189" s="1372"/>
      <c r="L189" s="1372"/>
      <c r="M189" s="1372"/>
      <c r="N189" s="1372"/>
      <c r="O189" s="1372"/>
      <c r="P189" s="1372"/>
      <c r="Q189" t="s">
        <v>582</v>
      </c>
      <c r="T189" s="1372" t="s">
        <v>482</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9">
        <v>94531</v>
      </c>
      <c r="J190" s="1349"/>
      <c r="K190" s="1349"/>
      <c r="L190" s="1349"/>
      <c r="M190" s="1349"/>
      <c r="N190" s="1349"/>
      <c r="O190" t="s">
        <v>585</v>
      </c>
      <c r="T190" s="1792">
        <v>3080.01</v>
      </c>
      <c r="U190" s="1792"/>
      <c r="V190" s="1792"/>
      <c r="W190" s="1792"/>
      <c r="X190" s="1792"/>
      <c r="Y190" s="1792"/>
      <c r="Z190" s="1792"/>
      <c r="AA190" s="1792"/>
      <c r="AB190" s="1792"/>
      <c r="AC190" s="1792"/>
      <c r="AD190" s="1792"/>
      <c r="AE190" s="1792"/>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5" t="s">
        <v>2615</v>
      </c>
      <c r="O191" s="1805"/>
      <c r="P191" s="1805"/>
      <c r="Q191" s="1805"/>
      <c r="R191" s="1805"/>
      <c r="S191" s="1805"/>
      <c r="T191" s="1805"/>
      <c r="U191" s="1805"/>
      <c r="V191" s="1805"/>
      <c r="W191" s="1805"/>
      <c r="X191" s="1805"/>
      <c r="Y191" s="1805"/>
      <c r="Z191" s="1805"/>
      <c r="AA191" s="1805"/>
      <c r="AB191" s="1805"/>
      <c r="AC191" s="1805"/>
      <c r="AD191" s="1805"/>
      <c r="AE191" s="1805"/>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6" t="s">
        <v>2213</v>
      </c>
      <c r="U193" s="1796"/>
      <c r="V193" s="1796"/>
      <c r="W193" s="1796"/>
      <c r="X193" s="1796"/>
      <c r="Y193" s="1796"/>
      <c r="Z193" s="1796"/>
      <c r="AA193" s="1796"/>
      <c r="AB193" s="1796"/>
      <c r="AC193" s="1796"/>
      <c r="AD193" s="1796"/>
      <c r="AE193" s="1796"/>
      <c r="AF193" s="1796"/>
      <c r="AG193" s="1796"/>
      <c r="AH193" s="1796"/>
      <c r="AI193" s="1796"/>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3" t="s">
        <v>669</v>
      </c>
      <c r="AI194" s="1333"/>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3" t="s">
        <v>669</v>
      </c>
      <c r="U195" s="1333"/>
      <c r="W195" t="s">
        <v>684</v>
      </c>
      <c r="AH195" s="1333">
        <v>8</v>
      </c>
      <c r="AI195" s="1333"/>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3" t="s">
        <v>545</v>
      </c>
      <c r="U196" s="1403"/>
      <c r="W196" t="s">
        <v>685</v>
      </c>
      <c r="AH196" s="1333">
        <v>15</v>
      </c>
      <c r="AI196" s="1333"/>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3" t="s">
        <v>669</v>
      </c>
      <c r="U197" s="1403"/>
      <c r="W197" t="s">
        <v>686</v>
      </c>
      <c r="AH197" s="1333">
        <v>9</v>
      </c>
      <c r="AI197" s="1333"/>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3">
        <v>0</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3" t="s">
        <v>669</v>
      </c>
      <c r="U200" s="1333"/>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4">
        <f>M26</f>
        <v>3647568</v>
      </c>
      <c r="Q204" s="1784"/>
      <c r="R204" s="1784"/>
      <c r="S204" s="1784"/>
      <c r="T204" s="1784"/>
      <c r="U204" s="1784"/>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4" t="s">
        <v>1246</v>
      </c>
      <c r="E205" s="1359"/>
      <c r="F205" s="1359"/>
      <c r="G205" s="1359"/>
      <c r="H205" s="1359"/>
      <c r="I205" s="1359"/>
      <c r="J205" s="1359"/>
      <c r="K205" s="1359"/>
      <c r="L205" s="1359"/>
      <c r="M205" s="1359"/>
      <c r="P205" s="1784">
        <f>M27</f>
        <v>0</v>
      </c>
      <c r="Q205" s="1784"/>
      <c r="R205" s="1784"/>
      <c r="S205" s="1784"/>
      <c r="T205" s="1784"/>
      <c r="U205" s="1784"/>
      <c r="V205" s="28"/>
      <c r="W205" s="3" t="s">
        <v>1719</v>
      </c>
      <c r="Z205" s="1812" t="s">
        <v>2219</v>
      </c>
      <c r="AA205" s="1812"/>
      <c r="AB205" s="1812"/>
      <c r="AC205" s="1812"/>
      <c r="AD205" s="1812"/>
      <c r="AE205" s="1812"/>
      <c r="AF205" s="1812"/>
      <c r="AG205" s="1812"/>
      <c r="AH205" s="1812"/>
      <c r="AI205" s="1812"/>
      <c r="AJ205" s="1812"/>
      <c r="AK205" s="1812"/>
      <c r="AL205" s="1812"/>
      <c r="AM205" s="1812"/>
      <c r="AN205" s="1812"/>
      <c r="AP205" s="1336"/>
      <c r="AQ205" s="133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2616</v>
      </c>
      <c r="E208" s="1418"/>
      <c r="F208" s="1418"/>
      <c r="G208" s="1418"/>
      <c r="H208" s="1418"/>
      <c r="I208" s="1418"/>
      <c r="J208" s="1418"/>
      <c r="K208" s="1418"/>
      <c r="L208" s="1418"/>
      <c r="M208" s="141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1040</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3">
        <v>0</v>
      </c>
      <c r="R212" s="1333"/>
      <c r="T212" s="1798">
        <f>IFERROR(Q212/AG440,0)</f>
        <v>0</v>
      </c>
      <c r="U212" s="179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526</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2234</v>
      </c>
      <c r="D218" s="28"/>
      <c r="AC218" s="2" t="s">
        <v>2463</v>
      </c>
      <c r="BC218" t="s">
        <v>529</v>
      </c>
    </row>
    <row r="219" spans="1:108" ht="12.95" customHeight="1">
      <c r="A219" s="2"/>
      <c r="C219" s="2"/>
      <c r="D219" s="3" t="s">
        <v>2464</v>
      </c>
      <c r="AZ219" s="3"/>
      <c r="BA219" s="3"/>
      <c r="BC219" t="s">
        <v>377</v>
      </c>
    </row>
    <row r="220" spans="1:108" ht="12.95" customHeight="1">
      <c r="A220" s="2"/>
      <c r="C220" s="2"/>
      <c r="D220" s="1418" t="s">
        <v>1062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3" t="s">
        <v>2466</v>
      </c>
      <c r="AD220" s="1813"/>
      <c r="AE220" s="1813"/>
      <c r="AF220" s="1813"/>
      <c r="AG220" s="1813"/>
      <c r="AH220" s="1813"/>
      <c r="AI220" s="1813"/>
      <c r="AJ220" s="1813"/>
      <c r="AK220" s="1813"/>
      <c r="AL220" s="1813"/>
      <c r="AM220" s="1813"/>
      <c r="AN220" s="1813"/>
      <c r="AO220" s="1813"/>
      <c r="AP220" s="1813"/>
      <c r="AQ220" s="1813"/>
      <c r="BA220" s="3"/>
      <c r="BC220" t="s">
        <v>300</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3" t="str">
        <f>H16</f>
        <v>Hillcrest Antioch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2643</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494</v>
      </c>
      <c r="N234" s="1418"/>
      <c r="O234" s="1418"/>
      <c r="P234" s="1418"/>
      <c r="Q234" s="1418"/>
      <c r="R234" s="1418"/>
      <c r="S234" s="1418"/>
      <c r="T234" s="1418"/>
      <c r="V234" s="33" t="s">
        <v>86</v>
      </c>
      <c r="W234" s="1546" t="s">
        <v>2644</v>
      </c>
      <c r="X234" s="1437"/>
      <c r="Y234" s="4" t="s">
        <v>583</v>
      </c>
      <c r="AC234" s="1418">
        <v>90025</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2645</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692" t="s">
        <v>2646</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7" t="s">
        <v>2647</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528</v>
      </c>
      <c r="N238" s="1349"/>
      <c r="O238" s="1349"/>
      <c r="P238" s="1349"/>
      <c r="Q238" s="1349"/>
      <c r="R238" s="1349"/>
      <c r="S238" s="1349"/>
      <c r="T238" s="1349"/>
      <c r="U238" s="204" t="s">
        <v>906</v>
      </c>
      <c r="V238" s="204"/>
      <c r="W238" s="204"/>
      <c r="X238" s="204"/>
      <c r="Y238" s="204"/>
      <c r="Z238" s="204"/>
      <c r="AA238" s="1778" t="s">
        <v>2618</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2697</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2648</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2643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8" t="s">
        <v>494</v>
      </c>
      <c r="N245" s="1418"/>
      <c r="O245" s="1418"/>
      <c r="P245" s="1418"/>
      <c r="Q245" s="1418"/>
      <c r="R245" s="1418"/>
      <c r="S245" s="1418"/>
      <c r="T245" s="1418"/>
      <c r="V245" s="33" t="s">
        <v>86</v>
      </c>
      <c r="W245" s="1437" t="s">
        <v>2644</v>
      </c>
      <c r="X245" s="1437"/>
      <c r="Y245" s="4" t="s">
        <v>583</v>
      </c>
      <c r="AC245" s="1418">
        <v>90025</v>
      </c>
      <c r="AD245" s="1418"/>
      <c r="AE245" s="1418"/>
      <c r="AF245" s="3" t="s">
        <v>1179</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8" t="s">
        <v>2645</v>
      </c>
      <c r="N246" s="1418"/>
      <c r="O246" s="1418"/>
      <c r="P246" s="1418"/>
      <c r="Q246" s="1418"/>
      <c r="R246" s="1418"/>
      <c r="S246" s="1418"/>
      <c r="T246" s="1418"/>
      <c r="U246" s="1418"/>
      <c r="V246" s="1418"/>
      <c r="W246" s="1418"/>
      <c r="X246" s="1418"/>
      <c r="Y246" s="1418"/>
      <c r="Z246" s="1418"/>
      <c r="AA246" s="1418"/>
      <c r="AB246" s="1418"/>
      <c r="AC246" s="1418"/>
      <c r="AD246" s="1418"/>
      <c r="AE246" s="1418"/>
      <c r="AH246" s="1781">
        <v>8.9999999999999993E-3</v>
      </c>
      <c r="AI246" s="1781"/>
      <c r="AJ246" s="1781"/>
      <c r="AK246" s="1781"/>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7" t="s">
        <v>2646</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7" t="s">
        <v>2647</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4" t="s">
        <v>906</v>
      </c>
      <c r="V249" s="204"/>
      <c r="W249" s="204"/>
      <c r="X249" s="204"/>
      <c r="Y249" s="204"/>
      <c r="Z249" s="204"/>
      <c r="AA249" s="1778" t="s">
        <v>2618</v>
      </c>
      <c r="AB249" s="1779"/>
      <c r="AC249" s="1779"/>
      <c r="AD249" s="1779"/>
      <c r="AE249" s="1779"/>
      <c r="AF249" s="1779"/>
      <c r="AG249" s="1779"/>
      <c r="AH249" s="1779"/>
      <c r="AI249" s="1779"/>
      <c r="AJ249" s="1779"/>
      <c r="AK249" s="17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2649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2620</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2650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1178</v>
      </c>
      <c r="AL252" s="4"/>
      <c r="AM252" s="4"/>
      <c r="AN252" s="4"/>
      <c r="AO252" s="4"/>
      <c r="AP252" s="4"/>
      <c r="AQ252" s="4"/>
      <c r="AR252" s="4"/>
      <c r="AS252" s="4"/>
      <c r="AT252" s="4"/>
      <c r="BN252" s="34"/>
    </row>
    <row r="253" spans="1:67" ht="12.95" customHeight="1">
      <c r="A253" s="19"/>
      <c r="B253" s="4"/>
      <c r="C253" s="4"/>
      <c r="D253" s="4" t="s">
        <v>580</v>
      </c>
      <c r="E253" s="4"/>
      <c r="M253" s="1417" t="s">
        <v>68</v>
      </c>
      <c r="N253" s="1418"/>
      <c r="O253" s="1418"/>
      <c r="P253" s="1418"/>
      <c r="Q253" s="1418"/>
      <c r="R253" s="1418"/>
      <c r="S253" s="1418"/>
      <c r="T253" s="1418"/>
      <c r="V253" s="33" t="s">
        <v>86</v>
      </c>
      <c r="W253" s="1546" t="s">
        <v>2644</v>
      </c>
      <c r="X253" s="1437"/>
      <c r="Y253" s="4" t="s">
        <v>583</v>
      </c>
      <c r="AC253" s="1418">
        <v>95816</v>
      </c>
      <c r="AD253" s="1418"/>
      <c r="AE253" s="1418"/>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2651</v>
      </c>
      <c r="N254" s="1418"/>
      <c r="O254" s="1418"/>
      <c r="P254" s="1418"/>
      <c r="Q254" s="1418"/>
      <c r="R254" s="1418"/>
      <c r="S254" s="1418"/>
      <c r="T254" s="1418"/>
      <c r="U254" s="1418"/>
      <c r="V254" s="1418"/>
      <c r="W254" s="1418"/>
      <c r="X254" s="1418"/>
      <c r="Y254" s="1418"/>
      <c r="Z254" s="1418"/>
      <c r="AA254" s="1418"/>
      <c r="AB254" s="1418"/>
      <c r="AC254" s="1418"/>
      <c r="AD254" s="1418"/>
      <c r="AE254" s="1418"/>
      <c r="AH254" s="1781">
        <v>1E-3</v>
      </c>
      <c r="AI254" s="1781"/>
      <c r="AJ254" s="1781"/>
      <c r="AK254" s="1781"/>
      <c r="AL254" s="4"/>
      <c r="AM254" s="4"/>
      <c r="AN254" s="4"/>
      <c r="AO254" s="4"/>
      <c r="AP254" s="4"/>
      <c r="AQ254" s="4"/>
      <c r="AR254" s="4"/>
      <c r="AS254" s="4"/>
      <c r="AT254" s="4"/>
    </row>
    <row r="255" spans="1:67" ht="12.95" customHeight="1">
      <c r="A255" s="19"/>
      <c r="B255" s="4"/>
      <c r="C255" s="4"/>
      <c r="D255" s="4" t="s">
        <v>88</v>
      </c>
      <c r="E255" s="4"/>
      <c r="F255" s="4"/>
      <c r="M255" s="1692" t="s">
        <v>2652</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7" t="s">
        <v>2653</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4" t="s">
        <v>906</v>
      </c>
      <c r="V257" s="204"/>
      <c r="W257" s="204"/>
      <c r="X257" s="204"/>
      <c r="Y257" s="204"/>
      <c r="Z257" s="204"/>
      <c r="AA257" s="1778" t="s">
        <v>2649</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1"/>
      <c r="AI262" s="1781"/>
      <c r="AJ262" s="1781"/>
      <c r="AK262" s="178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173</v>
      </c>
      <c r="E270" s="1418"/>
      <c r="F270" s="1418"/>
      <c r="G270" s="1418"/>
      <c r="H270" s="1418"/>
      <c r="J270" t="s">
        <v>279</v>
      </c>
      <c r="X270" s="1691">
        <v>45809</v>
      </c>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2618</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2643</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8" t="s">
        <v>494</v>
      </c>
      <c r="M276" s="1418"/>
      <c r="N276" s="1418"/>
      <c r="O276" s="1418"/>
      <c r="P276" s="1418"/>
      <c r="Q276" s="1418"/>
      <c r="R276" s="1418"/>
      <c r="S276" s="1418"/>
      <c r="U276" s="33" t="s">
        <v>86</v>
      </c>
      <c r="V276" s="1546" t="s">
        <v>2644</v>
      </c>
      <c r="W276" s="1437"/>
      <c r="X276" s="4" t="s">
        <v>583</v>
      </c>
      <c r="AB276" s="1418">
        <v>90025</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2645</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t="s">
        <v>2646</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5" customHeight="1">
      <c r="D279" s="4" t="s">
        <v>90</v>
      </c>
      <c r="E279" s="4"/>
      <c r="F279" s="4"/>
      <c r="L279" s="1787" t="s">
        <v>2647</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623</v>
      </c>
      <c r="E280" s="3"/>
      <c r="F280" s="3"/>
      <c r="G280" s="3"/>
      <c r="H280" s="3"/>
      <c r="I280" s="3"/>
      <c r="L280" s="1546" t="s">
        <v>2654</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2618</v>
      </c>
      <c r="I287" s="1372"/>
      <c r="J287" s="1372"/>
      <c r="K287" s="1372"/>
      <c r="L287" s="1372"/>
      <c r="M287" s="1372"/>
      <c r="N287" s="1372"/>
      <c r="O287" s="1372"/>
      <c r="P287" s="1372"/>
      <c r="Q287" s="1372"/>
      <c r="R287" s="1372"/>
      <c r="T287" s="3" t="s">
        <v>567</v>
      </c>
      <c r="V287" s="3"/>
      <c r="W287" s="3"/>
      <c r="X287" s="3"/>
      <c r="Y287" s="3"/>
      <c r="AA287" s="1372" t="s">
        <v>2674</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2643</v>
      </c>
      <c r="I288" s="1349"/>
      <c r="J288" s="1349"/>
      <c r="K288" s="1349"/>
      <c r="L288" s="1349"/>
      <c r="M288" s="1349"/>
      <c r="N288" s="1349"/>
      <c r="O288" s="1349"/>
      <c r="P288" s="1349"/>
      <c r="Q288" s="1349"/>
      <c r="R288" s="1349"/>
      <c r="T288" s="3" t="s">
        <v>471</v>
      </c>
      <c r="V288" s="3"/>
      <c r="W288" s="3"/>
      <c r="X288" s="3"/>
      <c r="Y288" s="3"/>
      <c r="AA288" s="1349" t="s">
        <v>2678</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2655</v>
      </c>
      <c r="I289" s="1349"/>
      <c r="J289" s="1349"/>
      <c r="K289" s="1349"/>
      <c r="L289" s="1349"/>
      <c r="M289" s="1349"/>
      <c r="N289" s="1349"/>
      <c r="O289" s="1349"/>
      <c r="P289" s="1349"/>
      <c r="Q289" s="1349"/>
      <c r="R289" s="1349"/>
      <c r="T289" s="3" t="s">
        <v>75</v>
      </c>
      <c r="V289" s="3"/>
      <c r="W289" s="3"/>
      <c r="X289" s="3"/>
      <c r="Y289" s="3"/>
      <c r="AA289" s="1349" t="s">
        <v>2679</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2645</v>
      </c>
      <c r="I290" s="1349"/>
      <c r="J290" s="1349"/>
      <c r="K290" s="1349"/>
      <c r="L290" s="1349"/>
      <c r="M290" s="1349"/>
      <c r="N290" s="1349"/>
      <c r="O290" s="1349"/>
      <c r="P290" s="1349"/>
      <c r="Q290" s="1349"/>
      <c r="R290" s="1349"/>
      <c r="T290" s="3" t="s">
        <v>87</v>
      </c>
      <c r="V290" s="3"/>
      <c r="W290" s="3"/>
      <c r="X290" s="3"/>
      <c r="Y290" s="3"/>
      <c r="AA290" s="1349" t="s">
        <v>2675</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2646</v>
      </c>
      <c r="I291" s="1424"/>
      <c r="J291" s="1424"/>
      <c r="K291" s="1424"/>
      <c r="L291" s="1424"/>
      <c r="M291" s="1424"/>
      <c r="N291" s="4" t="s">
        <v>206</v>
      </c>
      <c r="O291" s="4"/>
      <c r="P291" s="1418"/>
      <c r="Q291" s="1418"/>
      <c r="R291" s="1418"/>
      <c r="S291" s="3"/>
      <c r="T291" s="3" t="s">
        <v>88</v>
      </c>
      <c r="V291" s="3"/>
      <c r="W291" s="3"/>
      <c r="X291" s="3"/>
      <c r="Y291" s="3"/>
      <c r="AA291" s="1777" t="s">
        <v>2676</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2647</v>
      </c>
      <c r="I293" s="1349"/>
      <c r="J293" s="1349"/>
      <c r="K293" s="1349"/>
      <c r="L293" s="1349"/>
      <c r="M293" s="1349"/>
      <c r="N293" s="1372"/>
      <c r="O293" s="1372"/>
      <c r="P293" s="1372"/>
      <c r="Q293" s="1372"/>
      <c r="R293" s="1372"/>
      <c r="S293" s="3"/>
      <c r="T293" s="3" t="s">
        <v>76</v>
      </c>
      <c r="V293" s="3"/>
      <c r="W293" s="3"/>
      <c r="X293" s="3"/>
      <c r="Y293" s="3"/>
      <c r="AA293" s="1349" t="s">
        <v>2677</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2656</v>
      </c>
      <c r="I295" s="1372"/>
      <c r="J295" s="1372"/>
      <c r="K295" s="1372"/>
      <c r="L295" s="1372"/>
      <c r="M295" s="1372"/>
      <c r="N295" s="1372"/>
      <c r="O295" s="1372"/>
      <c r="P295" s="1372"/>
      <c r="Q295" s="1372"/>
      <c r="R295" s="1372"/>
      <c r="T295" s="3" t="s">
        <v>364</v>
      </c>
      <c r="V295" s="3"/>
      <c r="W295" s="3"/>
      <c r="X295" s="3"/>
      <c r="Y295" s="3"/>
      <c r="AA295" s="1417" t="s">
        <v>2662</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2657</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2.95" customHeight="1">
      <c r="B297" s="3" t="s">
        <v>472</v>
      </c>
      <c r="C297" s="3"/>
      <c r="D297" s="3"/>
      <c r="E297" s="3"/>
      <c r="F297" s="3"/>
      <c r="H297" s="1546" t="s">
        <v>2658</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546" t="s">
        <v>2659</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777" t="s">
        <v>2660</v>
      </c>
      <c r="I299" s="1424"/>
      <c r="J299" s="1424"/>
      <c r="K299" s="1424"/>
      <c r="L299" s="1424"/>
      <c r="M299" s="1424"/>
      <c r="N299" s="4" t="s">
        <v>206</v>
      </c>
      <c r="O299" s="4"/>
      <c r="P299" s="1418"/>
      <c r="Q299" s="1418"/>
      <c r="R299" s="1418"/>
      <c r="S299" s="3"/>
      <c r="T299" s="3" t="s">
        <v>88</v>
      </c>
      <c r="V299" s="3"/>
      <c r="W299" s="3"/>
      <c r="X299" s="3"/>
      <c r="Y299" s="3"/>
      <c r="AA299" s="1424"/>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546" t="s">
        <v>2661</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2639</v>
      </c>
      <c r="I303" s="1372"/>
      <c r="J303" s="1372"/>
      <c r="K303" s="1372"/>
      <c r="L303" s="1372"/>
      <c r="M303" s="1372"/>
      <c r="N303" s="1372"/>
      <c r="O303" s="1372"/>
      <c r="P303" s="1372"/>
      <c r="Q303" s="1372"/>
      <c r="R303" s="1372"/>
      <c r="T303" s="4" t="s">
        <v>878</v>
      </c>
      <c r="V303" s="3"/>
      <c r="W303" s="3"/>
      <c r="X303" s="3"/>
      <c r="Y303" s="3"/>
      <c r="AA303" s="1417" t="s">
        <v>2663</v>
      </c>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2640</v>
      </c>
      <c r="I304" s="1349"/>
      <c r="J304" s="1349"/>
      <c r="K304" s="1349"/>
      <c r="L304" s="1349"/>
      <c r="M304" s="1349"/>
      <c r="N304" s="1349"/>
      <c r="O304" s="1349"/>
      <c r="P304" s="1349"/>
      <c r="Q304" s="1349"/>
      <c r="R304" s="1349"/>
      <c r="T304" s="3" t="s">
        <v>471</v>
      </c>
      <c r="V304" s="3"/>
      <c r="W304" s="3"/>
      <c r="X304" s="3"/>
      <c r="Y304" s="3"/>
      <c r="AA304" s="1349" t="s">
        <v>2727</v>
      </c>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2641</v>
      </c>
      <c r="I305" s="1349"/>
      <c r="J305" s="1349"/>
      <c r="K305" s="1349"/>
      <c r="L305" s="1349"/>
      <c r="M305" s="1349"/>
      <c r="N305" s="1349"/>
      <c r="O305" s="1349"/>
      <c r="P305" s="1349"/>
      <c r="Q305" s="1349"/>
      <c r="R305" s="1349"/>
      <c r="T305" s="3" t="s">
        <v>75</v>
      </c>
      <c r="V305" s="3"/>
      <c r="W305" s="3"/>
      <c r="X305" s="3"/>
      <c r="Y305" s="3"/>
      <c r="AA305" s="1349" t="s">
        <v>2728</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2680</v>
      </c>
      <c r="I306" s="1349"/>
      <c r="J306" s="1349"/>
      <c r="K306" s="1349"/>
      <c r="L306" s="1349"/>
      <c r="M306" s="1349"/>
      <c r="N306" s="1349"/>
      <c r="O306" s="1349"/>
      <c r="P306" s="1349"/>
      <c r="Q306" s="1349"/>
      <c r="R306" s="1349"/>
      <c r="T306" s="3" t="s">
        <v>87</v>
      </c>
      <c r="V306" s="3"/>
      <c r="W306" s="3"/>
      <c r="X306" s="3"/>
      <c r="Y306" s="3"/>
      <c r="AA306" s="1546" t="s">
        <v>2664</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777" t="s">
        <v>2681</v>
      </c>
      <c r="I307" s="1424"/>
      <c r="J307" s="1424"/>
      <c r="K307" s="1424"/>
      <c r="L307" s="1424"/>
      <c r="M307" s="1424"/>
      <c r="N307" s="4" t="s">
        <v>206</v>
      </c>
      <c r="O307" s="4"/>
      <c r="P307" s="1418"/>
      <c r="Q307" s="1418"/>
      <c r="R307" s="1418"/>
      <c r="S307" s="3"/>
      <c r="T307" s="3" t="s">
        <v>88</v>
      </c>
      <c r="V307" s="3"/>
      <c r="W307" s="3"/>
      <c r="X307" s="3"/>
      <c r="Y307" s="3"/>
      <c r="AA307" s="1777" t="s">
        <v>2729</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2682</v>
      </c>
      <c r="I309" s="1349"/>
      <c r="J309" s="1349"/>
      <c r="K309" s="1349"/>
      <c r="L309" s="1349"/>
      <c r="M309" s="1349"/>
      <c r="N309" s="1372"/>
      <c r="O309" s="1372"/>
      <c r="P309" s="1372"/>
      <c r="Q309" s="1372"/>
      <c r="R309" s="1372"/>
      <c r="S309" s="3"/>
      <c r="T309" s="3" t="s">
        <v>76</v>
      </c>
      <c r="V309" s="3"/>
      <c r="W309" s="3"/>
      <c r="X309" s="3"/>
      <c r="Y309" s="3"/>
      <c r="AA309" s="1546" t="s">
        <v>2730</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2639</v>
      </c>
      <c r="I311" s="1372"/>
      <c r="J311" s="1372"/>
      <c r="K311" s="1372"/>
      <c r="L311" s="1372"/>
      <c r="M311" s="1372"/>
      <c r="N311" s="1372"/>
      <c r="O311" s="1372"/>
      <c r="P311" s="1372"/>
      <c r="Q311" s="1372"/>
      <c r="R311" s="1372"/>
      <c r="S311" s="3"/>
      <c r="T311" s="3" t="s">
        <v>365</v>
      </c>
      <c r="V311" s="3"/>
      <c r="W311" s="3"/>
      <c r="X311" s="3"/>
      <c r="Y311" s="3"/>
      <c r="AA311" s="1372" t="s">
        <v>2711</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2640</v>
      </c>
      <c r="I312" s="1349"/>
      <c r="J312" s="1349"/>
      <c r="K312" s="1349"/>
      <c r="L312" s="1349"/>
      <c r="M312" s="1349"/>
      <c r="N312" s="1349"/>
      <c r="O312" s="1349"/>
      <c r="P312" s="1349"/>
      <c r="Q312" s="1349"/>
      <c r="R312" s="1349"/>
      <c r="S312" s="3"/>
      <c r="T312" s="3" t="s">
        <v>471</v>
      </c>
      <c r="V312" s="3"/>
      <c r="W312" s="3"/>
      <c r="X312" s="3"/>
      <c r="Y312" s="3"/>
      <c r="AA312" s="1349" t="s">
        <v>2748</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2641</v>
      </c>
      <c r="I313" s="1349"/>
      <c r="J313" s="1349"/>
      <c r="K313" s="1349"/>
      <c r="L313" s="1349"/>
      <c r="M313" s="1349"/>
      <c r="N313" s="1349"/>
      <c r="O313" s="1349"/>
      <c r="P313" s="1349"/>
      <c r="Q313" s="1349"/>
      <c r="R313" s="1349"/>
      <c r="S313" s="3"/>
      <c r="T313" s="3" t="s">
        <v>75</v>
      </c>
      <c r="V313" s="3"/>
      <c r="W313" s="3"/>
      <c r="X313" s="3"/>
      <c r="Y313" s="3"/>
      <c r="AA313" s="1349" t="s">
        <v>2749</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2680</v>
      </c>
      <c r="I314" s="1349"/>
      <c r="J314" s="1349"/>
      <c r="K314" s="1349"/>
      <c r="L314" s="1349"/>
      <c r="M314" s="1349"/>
      <c r="N314" s="1349"/>
      <c r="O314" s="1349"/>
      <c r="P314" s="1349"/>
      <c r="Q314" s="1349"/>
      <c r="R314" s="1349"/>
      <c r="S314" s="3"/>
      <c r="T314" s="3" t="s">
        <v>87</v>
      </c>
      <c r="V314" s="3"/>
      <c r="W314" s="3"/>
      <c r="X314" s="3"/>
      <c r="Y314" s="3"/>
      <c r="AA314" s="1349" t="s">
        <v>2744</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777" t="s">
        <v>2681</v>
      </c>
      <c r="I315" s="1424"/>
      <c r="J315" s="1424"/>
      <c r="K315" s="1424"/>
      <c r="L315" s="1424"/>
      <c r="M315" s="1424"/>
      <c r="N315" s="4" t="s">
        <v>206</v>
      </c>
      <c r="O315" s="4"/>
      <c r="P315" s="1418"/>
      <c r="Q315" s="1418"/>
      <c r="R315" s="1418"/>
      <c r="S315" s="3"/>
      <c r="T315" s="3" t="s">
        <v>88</v>
      </c>
      <c r="V315" s="3"/>
      <c r="W315" s="3"/>
      <c r="X315" s="3"/>
      <c r="Y315" s="3"/>
      <c r="AA315" s="1777" t="s">
        <v>2745</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2682</v>
      </c>
      <c r="I317" s="1349"/>
      <c r="J317" s="1349"/>
      <c r="K317" s="1349"/>
      <c r="L317" s="1349"/>
      <c r="M317" s="1349"/>
      <c r="N317" s="1372"/>
      <c r="O317" s="1372"/>
      <c r="P317" s="1372"/>
      <c r="Q317" s="1372"/>
      <c r="R317" s="1372"/>
      <c r="S317" s="3"/>
      <c r="T317" s="3" t="s">
        <v>76</v>
      </c>
      <c r="V317" s="3"/>
      <c r="W317" s="3"/>
      <c r="X317" s="3"/>
      <c r="Y317" s="3"/>
      <c r="AA317" s="1349" t="s">
        <v>2750</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2633</v>
      </c>
      <c r="I319" s="1372"/>
      <c r="J319" s="1372"/>
      <c r="K319" s="1372"/>
      <c r="L319" s="1372"/>
      <c r="M319" s="1372"/>
      <c r="N319" s="1372"/>
      <c r="O319" s="1372"/>
      <c r="P319" s="1372"/>
      <c r="Q319" s="1372"/>
      <c r="R319" s="1372"/>
      <c r="T319" s="3" t="s">
        <v>366</v>
      </c>
      <c r="V319" s="3"/>
      <c r="W319" s="3"/>
      <c r="X319" s="3"/>
      <c r="Y319" s="3"/>
      <c r="AA319" s="1417" t="s">
        <v>2665</v>
      </c>
      <c r="AB319" s="1372"/>
      <c r="AC319" s="1372"/>
      <c r="AD319" s="1372"/>
      <c r="AE319" s="1372"/>
      <c r="AF319" s="1372"/>
      <c r="AG319" s="1372"/>
      <c r="AH319" s="1372"/>
      <c r="AI319" s="1372"/>
      <c r="AJ319" s="1372"/>
      <c r="AK319" s="1372"/>
    </row>
    <row r="320" spans="2:37" ht="12.95" customHeight="1">
      <c r="B320" s="3" t="s">
        <v>471</v>
      </c>
      <c r="C320" s="3"/>
      <c r="D320" s="3"/>
      <c r="E320" s="3"/>
      <c r="F320" s="3"/>
      <c r="H320" s="1349" t="s">
        <v>2634</v>
      </c>
      <c r="I320" s="1349"/>
      <c r="J320" s="1349"/>
      <c r="K320" s="1349"/>
      <c r="L320" s="1349"/>
      <c r="M320" s="1349"/>
      <c r="N320" s="1349"/>
      <c r="O320" s="1349"/>
      <c r="P320" s="1349"/>
      <c r="Q320" s="1349"/>
      <c r="R320" s="1349"/>
      <c r="T320" s="3" t="s">
        <v>471</v>
      </c>
      <c r="V320" s="3"/>
      <c r="W320" s="3"/>
      <c r="X320" s="3"/>
      <c r="Y320" s="3"/>
      <c r="AA320" s="1546" t="s">
        <v>2666</v>
      </c>
      <c r="AB320" s="1349"/>
      <c r="AC320" s="1349"/>
      <c r="AD320" s="1349"/>
      <c r="AE320" s="1349"/>
      <c r="AF320" s="1349"/>
      <c r="AG320" s="1349"/>
      <c r="AH320" s="1349"/>
      <c r="AI320" s="1349"/>
      <c r="AJ320" s="1349"/>
      <c r="AK320" s="1349"/>
    </row>
    <row r="321" spans="2:37" ht="12.95" customHeight="1">
      <c r="B321" s="3" t="s">
        <v>472</v>
      </c>
      <c r="C321" s="3"/>
      <c r="D321" s="3"/>
      <c r="E321" s="3"/>
      <c r="F321" s="3"/>
      <c r="H321" s="1349" t="s">
        <v>2635</v>
      </c>
      <c r="I321" s="1349"/>
      <c r="J321" s="1349"/>
      <c r="K321" s="1349"/>
      <c r="L321" s="1349"/>
      <c r="M321" s="1349"/>
      <c r="N321" s="1349"/>
      <c r="O321" s="1349"/>
      <c r="P321" s="1349"/>
      <c r="Q321" s="1349"/>
      <c r="R321" s="1349"/>
      <c r="T321" s="3" t="s">
        <v>75</v>
      </c>
      <c r="V321" s="3"/>
      <c r="W321" s="3"/>
      <c r="X321" s="3"/>
      <c r="Y321" s="3"/>
      <c r="AA321" s="1546" t="s">
        <v>2667</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2636</v>
      </c>
      <c r="I322" s="1349"/>
      <c r="J322" s="1349"/>
      <c r="K322" s="1349"/>
      <c r="L322" s="1349"/>
      <c r="M322" s="1349"/>
      <c r="N322" s="1349"/>
      <c r="O322" s="1349"/>
      <c r="P322" s="1349"/>
      <c r="Q322" s="1349"/>
      <c r="R322" s="1349"/>
      <c r="T322" s="3" t="s">
        <v>87</v>
      </c>
      <c r="V322" s="3"/>
      <c r="W322" s="3"/>
      <c r="X322" s="3"/>
      <c r="Y322" s="3"/>
      <c r="AA322" s="1546" t="s">
        <v>2668</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t="s">
        <v>2637</v>
      </c>
      <c r="I323" s="1424"/>
      <c r="J323" s="1424"/>
      <c r="K323" s="1424"/>
      <c r="L323" s="1424"/>
      <c r="M323" s="1424"/>
      <c r="N323" s="4" t="s">
        <v>206</v>
      </c>
      <c r="O323" s="4"/>
      <c r="P323" s="1418"/>
      <c r="Q323" s="1418"/>
      <c r="R323" s="1418"/>
      <c r="S323" s="3"/>
      <c r="T323" s="3" t="s">
        <v>88</v>
      </c>
      <c r="V323" s="3"/>
      <c r="W323" s="3"/>
      <c r="X323" s="3"/>
      <c r="Y323" s="3"/>
      <c r="AA323" s="1777" t="s">
        <v>2669</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2638</v>
      </c>
      <c r="I325" s="1349"/>
      <c r="J325" s="1349"/>
      <c r="K325" s="1349"/>
      <c r="L325" s="1349"/>
      <c r="M325" s="1349"/>
      <c r="N325" s="1372"/>
      <c r="O325" s="1372"/>
      <c r="P325" s="1372"/>
      <c r="Q325" s="1372"/>
      <c r="R325" s="1372"/>
      <c r="S325" s="3"/>
      <c r="T325" s="3" t="s">
        <v>76</v>
      </c>
      <c r="V325" s="3"/>
      <c r="W325" s="3"/>
      <c r="X325" s="3"/>
      <c r="Y325" s="3"/>
      <c r="AA325" s="1546" t="s">
        <v>2670</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591</v>
      </c>
      <c r="I327" s="1372"/>
      <c r="J327" s="1372"/>
      <c r="K327" s="1372"/>
      <c r="L327" s="1372"/>
      <c r="M327" s="1372"/>
      <c r="N327" s="1372"/>
      <c r="O327" s="1372"/>
      <c r="P327" s="1372"/>
      <c r="Q327" s="1372"/>
      <c r="R327" s="1372"/>
      <c r="T327" s="3" t="s">
        <v>368</v>
      </c>
      <c r="V327" s="3"/>
      <c r="W327" s="3"/>
      <c r="X327" s="3"/>
      <c r="Y327" s="3"/>
      <c r="AA327" s="1372" t="s">
        <v>591</v>
      </c>
      <c r="AB327" s="1372"/>
      <c r="AC327" s="1372"/>
      <c r="AD327" s="1372"/>
      <c r="AE327" s="1372"/>
      <c r="AF327" s="1372"/>
      <c r="AG327" s="1372"/>
      <c r="AH327" s="1372"/>
      <c r="AI327" s="1372"/>
      <c r="AJ327" s="1372"/>
      <c r="AK327" s="1372"/>
    </row>
    <row r="328" spans="2:37" ht="12.9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2627</v>
      </c>
      <c r="I335" s="1372"/>
      <c r="J335" s="1372"/>
      <c r="K335" s="1372"/>
      <c r="L335" s="1372"/>
      <c r="M335" s="1372"/>
      <c r="N335" s="1372"/>
      <c r="O335" s="1372"/>
      <c r="P335" s="1372"/>
      <c r="Q335" s="1372"/>
      <c r="R335" s="1372"/>
      <c r="T335" s="204" t="s">
        <v>886</v>
      </c>
      <c r="V335" s="3"/>
      <c r="W335" s="3"/>
      <c r="X335" s="3"/>
      <c r="Y335" s="3"/>
      <c r="AA335" s="1372" t="s">
        <v>2621</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2628</v>
      </c>
      <c r="I336" s="1349"/>
      <c r="J336" s="1349"/>
      <c r="K336" s="1349"/>
      <c r="L336" s="1349"/>
      <c r="M336" s="1349"/>
      <c r="N336" s="1349"/>
      <c r="O336" s="1349"/>
      <c r="P336" s="1349"/>
      <c r="Q336" s="1349"/>
      <c r="R336" s="1349"/>
      <c r="T336" s="3" t="s">
        <v>471</v>
      </c>
      <c r="V336" s="3"/>
      <c r="W336" s="3"/>
      <c r="X336" s="3"/>
      <c r="Y336" s="3"/>
      <c r="AA336" s="1349" t="s">
        <v>2622</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2629</v>
      </c>
      <c r="I337" s="1349"/>
      <c r="J337" s="1349"/>
      <c r="K337" s="1349"/>
      <c r="L337" s="1349"/>
      <c r="M337" s="1349"/>
      <c r="N337" s="1349"/>
      <c r="O337" s="1349"/>
      <c r="P337" s="1349"/>
      <c r="Q337" s="1349"/>
      <c r="R337" s="1349"/>
      <c r="T337" s="3" t="s">
        <v>75</v>
      </c>
      <c r="V337" s="3"/>
      <c r="W337" s="3"/>
      <c r="X337" s="3"/>
      <c r="Y337" s="3"/>
      <c r="AA337" s="1349" t="s">
        <v>2623</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2630</v>
      </c>
      <c r="I338" s="1349"/>
      <c r="J338" s="1349"/>
      <c r="K338" s="1349"/>
      <c r="L338" s="1349"/>
      <c r="M338" s="1349"/>
      <c r="N338" s="1349"/>
      <c r="O338" s="1349"/>
      <c r="P338" s="1349"/>
      <c r="Q338" s="1349"/>
      <c r="R338" s="1349"/>
      <c r="T338" s="3" t="s">
        <v>87</v>
      </c>
      <c r="V338" s="3"/>
      <c r="W338" s="3"/>
      <c r="X338" s="3"/>
      <c r="Y338" s="3"/>
      <c r="AA338" s="1349" t="s">
        <v>2624</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2631</v>
      </c>
      <c r="I339" s="1424"/>
      <c r="J339" s="1424"/>
      <c r="K339" s="1424"/>
      <c r="L339" s="1424"/>
      <c r="M339" s="1424"/>
      <c r="N339" s="4" t="s">
        <v>206</v>
      </c>
      <c r="O339" s="4"/>
      <c r="P339" s="1418"/>
      <c r="Q339" s="1418"/>
      <c r="R339" s="1418"/>
      <c r="S339" s="3"/>
      <c r="T339" s="3" t="s">
        <v>88</v>
      </c>
      <c r="V339" s="3"/>
      <c r="W339" s="3"/>
      <c r="X339" s="3"/>
      <c r="Y339" s="3"/>
      <c r="AA339" s="1424" t="s">
        <v>2625</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2632</v>
      </c>
      <c r="I341" s="1349"/>
      <c r="J341" s="1349"/>
      <c r="K341" s="1349"/>
      <c r="L341" s="1349"/>
      <c r="M341" s="1349"/>
      <c r="N341" s="1372"/>
      <c r="O341" s="1372"/>
      <c r="P341" s="1372"/>
      <c r="Q341" s="1372"/>
      <c r="R341" s="1372"/>
      <c r="S341" s="3"/>
      <c r="T341" s="3" t="s">
        <v>76</v>
      </c>
      <c r="V341" s="3"/>
      <c r="W341" s="3"/>
      <c r="X341" s="3"/>
      <c r="Y341" s="3"/>
      <c r="AA341" s="1349" t="s">
        <v>2626</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t="s">
        <v>591</v>
      </c>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333" t="s">
        <v>545</v>
      </c>
      <c r="N355" s="1333"/>
      <c r="P355" t="s">
        <v>1649</v>
      </c>
      <c r="AJ355" s="1333" t="s">
        <v>591</v>
      </c>
      <c r="AK355" s="1333"/>
    </row>
    <row r="356" spans="1:46" ht="12.95" customHeight="1">
      <c r="D356" s="3" t="s">
        <v>1638</v>
      </c>
      <c r="M356" s="1333" t="s">
        <v>591</v>
      </c>
      <c r="N356" s="1333"/>
      <c r="P356" s="3" t="s">
        <v>1718</v>
      </c>
      <c r="AJ356" s="1447">
        <v>0</v>
      </c>
      <c r="AK356" s="1447"/>
    </row>
    <row r="357" spans="1:46" ht="12.95" customHeight="1">
      <c r="D357" s="3" t="s">
        <v>704</v>
      </c>
      <c r="M357" s="1333" t="s">
        <v>591</v>
      </c>
      <c r="N357" s="1333"/>
      <c r="P357" t="s">
        <v>1648</v>
      </c>
      <c r="AJ357" s="1333" t="s">
        <v>591</v>
      </c>
      <c r="AK357" s="1333"/>
    </row>
    <row r="358" spans="1:46" ht="12.95" customHeight="1">
      <c r="D358" s="3" t="s">
        <v>705</v>
      </c>
      <c r="M358" s="1333" t="s">
        <v>591</v>
      </c>
      <c r="N358" s="1333"/>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2.95" customHeight="1">
      <c r="E364" t="s">
        <v>370</v>
      </c>
      <c r="Y364" s="1333" t="s">
        <v>591</v>
      </c>
      <c r="Z364" s="1333"/>
    </row>
    <row r="365" spans="1:46" ht="12.95" customHeight="1">
      <c r="D365" s="4" t="s">
        <v>977</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3" t="s">
        <v>591</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19"/>
      <c r="T377" s="1819"/>
      <c r="U377" s="1" t="s">
        <v>306</v>
      </c>
      <c r="V377" s="1819"/>
      <c r="W377" s="1819"/>
      <c r="Y377" t="s">
        <v>2079</v>
      </c>
      <c r="AC377" s="27" t="s">
        <v>305</v>
      </c>
      <c r="AD377" s="1819"/>
      <c r="AE377" s="1819"/>
      <c r="AF377" s="1" t="s">
        <v>306</v>
      </c>
      <c r="AG377" s="1819"/>
      <c r="AH377" s="1819"/>
    </row>
    <row r="378" spans="1:34" ht="12.95" customHeight="1">
      <c r="E378" s="4" t="s">
        <v>986</v>
      </c>
      <c r="F378" s="4"/>
      <c r="G378" s="4"/>
      <c r="H378" s="4"/>
      <c r="I378" s="4"/>
      <c r="J378" s="4"/>
      <c r="K378" s="4"/>
      <c r="L378" s="4"/>
      <c r="N378" s="1819"/>
      <c r="O378" s="1819"/>
      <c r="P378" s="1819"/>
    </row>
    <row r="379" spans="1:34" ht="12.95" customHeight="1">
      <c r="E379" s="204" t="s">
        <v>2085</v>
      </c>
      <c r="F379" s="4"/>
      <c r="G379" s="4"/>
      <c r="H379" s="4"/>
      <c r="I379" s="4"/>
      <c r="J379" s="4"/>
      <c r="K379" s="4"/>
      <c r="L379" s="4"/>
      <c r="AG379" s="1806" t="s">
        <v>591</v>
      </c>
      <c r="AH379" s="1806"/>
    </row>
    <row r="380" spans="1:34" ht="12.95" customHeight="1">
      <c r="E380" s="4"/>
      <c r="F380" s="4"/>
      <c r="G380" s="4" t="s">
        <v>2086</v>
      </c>
      <c r="H380" s="4"/>
      <c r="I380" s="4"/>
      <c r="J380" s="4"/>
      <c r="K380" s="4"/>
      <c r="L380" s="4"/>
      <c r="AG380" s="1806" t="s">
        <v>591</v>
      </c>
      <c r="AH380" s="1806"/>
    </row>
    <row r="381" spans="1:34" ht="12.95" customHeight="1">
      <c r="E381" s="4"/>
      <c r="F381" s="4"/>
      <c r="G381" s="320" t="s">
        <v>987</v>
      </c>
      <c r="H381" s="4"/>
      <c r="I381" s="4"/>
      <c r="J381" s="4"/>
      <c r="K381" s="4"/>
      <c r="L381" s="4"/>
      <c r="V381" s="1333" t="s">
        <v>591</v>
      </c>
      <c r="W381" s="1333"/>
      <c r="Y381" s="22" t="s">
        <v>979</v>
      </c>
    </row>
    <row r="382" spans="1:34" ht="12.95" customHeight="1">
      <c r="E382" s="4" t="s">
        <v>980</v>
      </c>
      <c r="F382" s="4"/>
      <c r="G382" s="4"/>
      <c r="H382" s="4"/>
      <c r="I382" s="4"/>
      <c r="J382" s="4"/>
      <c r="K382" s="4"/>
      <c r="L382" s="4"/>
      <c r="V382" s="1333" t="s">
        <v>591</v>
      </c>
      <c r="W382" s="1333"/>
      <c r="Y382" s="4" t="s">
        <v>981</v>
      </c>
    </row>
    <row r="383" spans="1:34" ht="12.95" customHeight="1"/>
    <row r="384" spans="1:34" ht="12.95" customHeight="1">
      <c r="A384" s="2" t="s">
        <v>78</v>
      </c>
      <c r="B384" s="2"/>
    </row>
    <row r="385" spans="4:36" ht="12.95" customHeight="1">
      <c r="D385" t="s">
        <v>428</v>
      </c>
      <c r="J385" s="1372" t="s">
        <v>2683</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1181</v>
      </c>
      <c r="J386" s="1349" t="s">
        <v>2741</v>
      </c>
      <c r="K386" s="1349"/>
      <c r="L386" s="1349"/>
      <c r="M386" s="1349"/>
      <c r="N386" s="1349"/>
      <c r="O386" s="1349"/>
      <c r="P386" s="1349"/>
      <c r="Q386" s="1349"/>
      <c r="R386" s="1349"/>
      <c r="S386" s="1349"/>
      <c r="T386" s="1349"/>
      <c r="U386" s="1349"/>
      <c r="V386" s="3" t="s">
        <v>1181</v>
      </c>
      <c r="W386" s="8"/>
      <c r="X386" s="8"/>
      <c r="Y386" s="8"/>
      <c r="Z386" s="8"/>
      <c r="AA386" s="8"/>
      <c r="AB386" s="8"/>
      <c r="AC386" s="1372"/>
      <c r="AD386" s="1372"/>
      <c r="AE386" s="1372"/>
      <c r="AF386" s="1372"/>
      <c r="AG386" s="1372"/>
      <c r="AH386" s="1372"/>
      <c r="AI386" s="1372"/>
      <c r="AJ386" s="1372"/>
    </row>
    <row r="387" spans="4:36" ht="12.95" customHeight="1">
      <c r="D387" s="3" t="s">
        <v>441</v>
      </c>
      <c r="J387" s="1349" t="s">
        <v>2742</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1177</v>
      </c>
      <c r="J388" s="1403" t="s">
        <v>2743</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3">
        <v>45525</v>
      </c>
      <c r="R389" s="1753"/>
      <c r="S389" s="1753"/>
      <c r="T389" s="1753"/>
      <c r="U389" s="1753"/>
      <c r="V389" t="s">
        <v>309</v>
      </c>
      <c r="AI389" s="1333" t="s">
        <v>669</v>
      </c>
      <c r="AJ389" s="1333"/>
    </row>
    <row r="390" spans="4:36" ht="12.95" customHeight="1">
      <c r="D390" t="s">
        <v>5</v>
      </c>
      <c r="Q390" s="1534">
        <v>46146</v>
      </c>
      <c r="R390" s="1823"/>
      <c r="S390" s="1823"/>
      <c r="T390" s="1823"/>
      <c r="U390" s="1823"/>
      <c r="W390" s="21" t="s">
        <v>74</v>
      </c>
      <c r="AG390" s="1821">
        <v>0</v>
      </c>
      <c r="AH390" s="1821"/>
      <c r="AI390" s="1821"/>
      <c r="AJ390" s="1821"/>
    </row>
    <row r="391" spans="4:36" ht="12.95" customHeight="1">
      <c r="D391" t="s">
        <v>427</v>
      </c>
      <c r="Q391" s="1832">
        <v>3440000</v>
      </c>
      <c r="R391" s="1832"/>
      <c r="S391" s="1832"/>
      <c r="T391" s="1832"/>
      <c r="U391" s="1832"/>
      <c r="V391" s="3" t="s">
        <v>1180</v>
      </c>
      <c r="AG391" s="1822">
        <v>46023</v>
      </c>
      <c r="AH391" s="1822"/>
      <c r="AI391" s="1822"/>
      <c r="AJ391" s="1822"/>
    </row>
    <row r="392" spans="4:36" ht="12.95" customHeight="1">
      <c r="D392" t="s">
        <v>88</v>
      </c>
      <c r="I392" s="1424"/>
      <c r="J392" s="1424"/>
      <c r="K392" s="1424"/>
      <c r="L392" s="1424"/>
      <c r="M392" s="1424"/>
      <c r="N392" s="1424"/>
      <c r="Q392" s="4" t="s">
        <v>206</v>
      </c>
      <c r="S392" s="1831"/>
      <c r="T392" s="1831"/>
      <c r="U392" s="1831"/>
      <c r="V392" t="s">
        <v>73</v>
      </c>
      <c r="AI392" s="1333" t="s">
        <v>669</v>
      </c>
      <c r="AJ392" s="1333"/>
    </row>
    <row r="393" spans="4:36" ht="12.95" customHeight="1">
      <c r="D393" t="s">
        <v>310</v>
      </c>
      <c r="Q393" s="1409">
        <v>0</v>
      </c>
      <c r="R393" s="1409"/>
      <c r="S393" s="1409"/>
      <c r="T393" s="1409"/>
      <c r="U393" s="1409"/>
      <c r="V393" t="s">
        <v>311</v>
      </c>
      <c r="AG393" s="1821">
        <v>0</v>
      </c>
      <c r="AH393" s="1821"/>
      <c r="AI393" s="1821"/>
      <c r="AJ393" s="1821"/>
    </row>
    <row r="394" spans="4:36" ht="12.95" customHeight="1">
      <c r="D394" t="s">
        <v>312</v>
      </c>
      <c r="Q394" s="1757"/>
      <c r="R394" s="1757"/>
      <c r="S394" s="1757"/>
      <c r="T394" s="1757"/>
      <c r="U394" s="1757"/>
      <c r="V394" t="s">
        <v>1162</v>
      </c>
      <c r="AG394" s="1821">
        <v>0</v>
      </c>
      <c r="AH394" s="1821"/>
      <c r="AI394" s="1821"/>
      <c r="AJ394" s="1821"/>
    </row>
    <row r="395" spans="4:36" ht="12.95" customHeight="1">
      <c r="D395" t="s">
        <v>1161</v>
      </c>
      <c r="AG395" s="1821">
        <v>0</v>
      </c>
      <c r="AH395" s="1821"/>
      <c r="AI395" s="1821"/>
      <c r="AJ395" s="1821"/>
    </row>
    <row r="396" spans="4:36" ht="12.95" customHeight="1">
      <c r="AG396" s="456"/>
      <c r="AH396" s="456"/>
      <c r="AI396" s="456"/>
      <c r="AJ396" s="456"/>
    </row>
    <row r="397" spans="4:36" ht="12.95" customHeight="1">
      <c r="D397" s="3" t="s">
        <v>2142</v>
      </c>
      <c r="AG397" s="456"/>
      <c r="AH397" s="456"/>
      <c r="AI397" s="1333" t="s">
        <v>669</v>
      </c>
      <c r="AJ397" s="1333"/>
    </row>
    <row r="398" spans="4:36" ht="12.95" customHeight="1">
      <c r="D398" s="3" t="s">
        <v>1666</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1665</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1659</v>
      </c>
      <c r="S401" s="1752" t="s">
        <v>545</v>
      </c>
      <c r="T401" s="1752"/>
      <c r="U401" s="1752"/>
      <c r="V401" t="s">
        <v>1660</v>
      </c>
      <c r="AG401" s="1825">
        <v>99</v>
      </c>
      <c r="AH401" s="1825"/>
      <c r="AI401" s="1825"/>
      <c r="AJ401" s="1825"/>
    </row>
    <row r="402" spans="1:36" ht="12.95" customHeight="1">
      <c r="D402" s="3" t="s">
        <v>1657</v>
      </c>
      <c r="S402" s="1752" t="s">
        <v>545</v>
      </c>
      <c r="T402" s="1752"/>
      <c r="U402" s="1752"/>
      <c r="V402" t="s">
        <v>1662</v>
      </c>
      <c r="AE402" s="1820">
        <f>'15 Year Pro Forma'!E24</f>
        <v>743668</v>
      </c>
      <c r="AF402" s="1820"/>
      <c r="AG402" s="1820"/>
      <c r="AH402" s="1820"/>
      <c r="AI402" s="1820"/>
      <c r="AJ402" s="1820"/>
    </row>
    <row r="403" spans="1:36" ht="12.95" customHeight="1">
      <c r="D403" s="3" t="s">
        <v>1658</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1661</v>
      </c>
      <c r="K404" s="1800" t="s">
        <v>2671</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1664</v>
      </c>
      <c r="E405" s="477"/>
      <c r="F405" s="477"/>
      <c r="G405" s="477"/>
      <c r="H405" s="477"/>
      <c r="I405" s="477"/>
      <c r="J405" s="477"/>
      <c r="K405" s="477"/>
      <c r="L405" s="477"/>
      <c r="M405" s="477"/>
      <c r="N405" s="477"/>
      <c r="O405" s="477"/>
      <c r="P405" s="477"/>
      <c r="Q405" s="477"/>
      <c r="R405" s="477"/>
      <c r="S405" s="1830" t="s">
        <v>2617</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17" t="s">
        <v>2642</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3" t="s">
        <v>545</v>
      </c>
      <c r="S411" s="1333"/>
      <c r="AC411" s="27" t="s">
        <v>570</v>
      </c>
      <c r="AD411" s="1663">
        <v>4</v>
      </c>
      <c r="AE411" s="1663"/>
    </row>
    <row r="412" spans="1:36" ht="12.95" customHeight="1">
      <c r="E412" t="s">
        <v>107</v>
      </c>
      <c r="R412" s="1333" t="s">
        <v>591</v>
      </c>
      <c r="S412" s="1333"/>
      <c r="AC412" s="27" t="s">
        <v>570</v>
      </c>
      <c r="AD412" s="1663"/>
      <c r="AE412" s="1663"/>
    </row>
    <row r="413" spans="1:36" ht="12.95" customHeight="1">
      <c r="E413" t="s">
        <v>108</v>
      </c>
      <c r="S413" s="1333" t="s">
        <v>591</v>
      </c>
      <c r="T413" s="1333"/>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9"/>
      <c r="F418" s="1819"/>
      <c r="G418" s="1819"/>
      <c r="H418" s="13" t="s">
        <v>115</v>
      </c>
      <c r="I418" s="1819"/>
      <c r="J418" s="1819"/>
      <c r="K418" s="1819"/>
      <c r="L418" t="s">
        <v>116</v>
      </c>
      <c r="N418" s="27" t="s">
        <v>575</v>
      </c>
      <c r="P418" s="1761">
        <v>4.92</v>
      </c>
      <c r="Q418" s="1761"/>
      <c r="R418" s="1761"/>
      <c r="S418" t="s">
        <v>117</v>
      </c>
      <c r="W418" s="1829">
        <f>IF(E418&gt;0,(E418*I418),(P418*43560))</f>
        <v>214315.19999999998</v>
      </c>
      <c r="X418" s="1829"/>
      <c r="Y418" s="1829"/>
      <c r="Z418" t="s">
        <v>118</v>
      </c>
      <c r="AF418" s="1762">
        <f>IFERROR(IF(P418&gt;0,(AG437/P418),(AG437/(W418/43560))),0)</f>
        <v>33.536585365853661</v>
      </c>
      <c r="AG418" s="1762"/>
      <c r="AH418" s="1762"/>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1735</v>
      </c>
      <c r="F421" s="1013"/>
      <c r="G421" s="1013"/>
      <c r="H421" s="1013"/>
      <c r="I421" s="1760">
        <v>4.9000000000000004</v>
      </c>
      <c r="J421" s="1760"/>
      <c r="K421" s="1760"/>
      <c r="L421" s="1013"/>
      <c r="M421" s="118"/>
      <c r="N421" s="1013"/>
      <c r="O421" s="1013"/>
      <c r="P421" s="1441">
        <f>(DU755+DU778+DU800)/I421</f>
        <v>65.102040816326522</v>
      </c>
      <c r="Q421" s="1441"/>
      <c r="R421" s="1441"/>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3">
        <v>1</v>
      </c>
      <c r="Q424" s="1333"/>
      <c r="S424" t="s">
        <v>189</v>
      </c>
      <c r="AE424" s="1333">
        <v>1</v>
      </c>
      <c r="AF424" s="1333"/>
    </row>
    <row r="425" spans="1:39" ht="12.95" customHeight="1">
      <c r="E425" t="s">
        <v>190</v>
      </c>
      <c r="P425" s="1333">
        <v>0</v>
      </c>
      <c r="Q425" s="1333"/>
      <c r="S425" t="s">
        <v>131</v>
      </c>
      <c r="AE425" s="1333" t="s">
        <v>591</v>
      </c>
      <c r="AF425" s="1333"/>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3" t="s">
        <v>545</v>
      </c>
      <c r="R429" s="1333"/>
    </row>
    <row r="430" spans="1:39" ht="12.95" customHeight="1">
      <c r="F430" t="s">
        <v>609</v>
      </c>
      <c r="P430" s="1"/>
      <c r="Q430" s="1"/>
      <c r="AF430" s="1333" t="s">
        <v>591</v>
      </c>
      <c r="AG430" s="1827"/>
    </row>
    <row r="431" spans="1:39" ht="12.95" customHeight="1"/>
    <row r="432" spans="1:39" ht="12.95" customHeight="1">
      <c r="A432" s="2"/>
      <c r="B432" s="2"/>
      <c r="C432" s="2"/>
      <c r="E432" s="4" t="s">
        <v>308</v>
      </c>
      <c r="Z432" s="1333" t="s">
        <v>669</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4">
        <v>165</v>
      </c>
      <c r="AH437" s="1824"/>
      <c r="AI437" s="1824"/>
      <c r="AJ437" s="1824"/>
    </row>
    <row r="438" spans="1:55" ht="12.95" customHeight="1">
      <c r="D438" s="1744" t="s">
        <v>1221</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8">
        <v>0</v>
      </c>
      <c r="AH438" s="1613"/>
      <c r="AI438" s="1613"/>
      <c r="AJ438" s="1613"/>
    </row>
    <row r="439" spans="1:55" ht="12.95" customHeight="1">
      <c r="D439" s="1744" t="s">
        <v>1030</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4">
        <v>163</v>
      </c>
      <c r="AH439" s="1824"/>
      <c r="AI439" s="1824"/>
      <c r="AJ439" s="1824"/>
    </row>
    <row r="440" spans="1:55" ht="12.95" customHeight="1">
      <c r="D440" s="1744" t="s">
        <v>1031</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4">
        <v>163</v>
      </c>
      <c r="AH440" s="1824"/>
      <c r="AI440" s="1824"/>
      <c r="AJ440" s="1824"/>
    </row>
    <row r="441" spans="1:55" ht="12.95" customHeight="1">
      <c r="D441" s="1744" t="s">
        <v>1033</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2.95" customHeight="1">
      <c r="D442" s="1744" t="s">
        <v>1032</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818">
        <v>125577</v>
      </c>
      <c r="AH442" s="1696"/>
      <c r="AI442" s="1696"/>
      <c r="AJ442" s="1696"/>
    </row>
    <row r="443" spans="1:55" ht="12.95" customHeight="1">
      <c r="D443" s="1744" t="s">
        <v>1034</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125577</v>
      </c>
      <c r="AH443" s="1696"/>
      <c r="AI443" s="1696"/>
      <c r="AJ443" s="1696"/>
    </row>
    <row r="444" spans="1:55" ht="12.95" customHeight="1">
      <c r="D444" s="1744" t="s">
        <v>1035</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2.95" customHeight="1">
      <c r="D445" s="1744" t="s">
        <v>1036</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2.95" customHeight="1">
      <c r="D446" s="1744" t="s">
        <v>2087</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6">
        <f>696+756+1840+729</f>
        <v>4021</v>
      </c>
      <c r="AH446" s="1696"/>
      <c r="AI446" s="1696"/>
      <c r="AJ446" s="1696"/>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6">
        <v>0</v>
      </c>
      <c r="AH447" s="1696"/>
      <c r="AI447" s="1696"/>
      <c r="AJ447" s="1696"/>
      <c r="AZ447" s="3"/>
      <c r="BA447" s="3"/>
      <c r="BB447" s="3"/>
      <c r="BC447" s="3"/>
    </row>
    <row r="448" spans="1:55" ht="12.95" customHeight="1">
      <c r="D448" s="1744" t="s">
        <v>1204</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6">
        <v>0</v>
      </c>
      <c r="AH448" s="1696"/>
      <c r="AI448" s="1696"/>
      <c r="AJ448" s="1696"/>
      <c r="AZ448" s="3"/>
      <c r="BA448" s="3"/>
      <c r="BB448" s="3"/>
      <c r="BC448" s="3"/>
    </row>
    <row r="449" spans="1:55" ht="12.95" customHeight="1">
      <c r="D449" s="1744" t="s">
        <v>1037</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6">
        <v>25704</v>
      </c>
      <c r="AH449" s="1696"/>
      <c r="AI449" s="1696"/>
      <c r="AJ449" s="1696"/>
      <c r="BB449" s="3"/>
      <c r="BC449" s="3"/>
    </row>
    <row r="450" spans="1:55" ht="12.95" customHeight="1">
      <c r="D450" s="1768" t="s">
        <v>1038</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155302</v>
      </c>
      <c r="AH450" s="1848"/>
      <c r="AI450" s="1848"/>
      <c r="AJ450" s="1848"/>
      <c r="AZ450" s="3"/>
      <c r="BA450" s="3"/>
      <c r="BB450" s="3"/>
      <c r="BC450" s="3"/>
    </row>
    <row r="451" spans="1:55" ht="12.95" customHeight="1">
      <c r="D451" s="1747" t="s">
        <v>1205</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440585.73939393938</v>
      </c>
      <c r="AD454" s="1815"/>
      <c r="AE454" s="1815"/>
      <c r="AF454" s="1815"/>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440585.73939393938</v>
      </c>
      <c r="AD455" s="1815"/>
      <c r="AE455" s="1815"/>
      <c r="AF455" s="1815"/>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425124.52727272728</v>
      </c>
      <c r="AD456" s="1815"/>
      <c r="AE456" s="1815"/>
      <c r="AF456" s="1815"/>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2099</v>
      </c>
      <c r="E465" s="1755"/>
      <c r="F465" s="1755"/>
      <c r="G465" s="1755"/>
      <c r="H465" s="1755"/>
      <c r="I465" s="1755"/>
      <c r="J465" s="1755"/>
      <c r="K465" s="1755"/>
      <c r="L465" s="1755"/>
      <c r="M465" s="1755"/>
      <c r="N465" s="1755"/>
      <c r="O465" s="1755"/>
      <c r="P465" s="1755"/>
      <c r="Q465" s="1755"/>
      <c r="R465" s="1755"/>
      <c r="S465" s="1755"/>
      <c r="T465" s="1755"/>
      <c r="U465" s="1755"/>
      <c r="V465" s="1756"/>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1011</v>
      </c>
      <c r="E471" s="1755"/>
      <c r="F471" s="1755"/>
      <c r="G471" s="1755"/>
      <c r="H471" s="1755"/>
      <c r="I471" s="1755"/>
      <c r="J471" s="1755"/>
      <c r="K471" s="1755"/>
      <c r="L471" s="1755"/>
      <c r="M471" s="1755"/>
      <c r="N471" s="1755"/>
      <c r="O471" s="1755"/>
      <c r="P471" s="1755"/>
      <c r="Q471" s="1755"/>
      <c r="R471" s="1755"/>
      <c r="S471" s="1755"/>
      <c r="T471" s="1755"/>
      <c r="U471" s="1755"/>
      <c r="V471" s="1756"/>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2190</v>
      </c>
      <c r="E472" s="1852"/>
      <c r="F472" s="1852"/>
      <c r="G472" s="1852"/>
      <c r="H472" s="1852"/>
      <c r="I472" s="1852"/>
      <c r="J472" s="1852"/>
      <c r="K472" s="1852"/>
      <c r="L472" s="1852"/>
      <c r="M472" s="1852"/>
      <c r="N472" s="1852"/>
      <c r="O472" s="1852"/>
      <c r="P472" s="1852"/>
      <c r="Q472" s="1852"/>
      <c r="R472" s="1852"/>
      <c r="S472" s="1852"/>
      <c r="T472" s="1852"/>
      <c r="U472" s="1852"/>
      <c r="V472" s="1853"/>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1653</v>
      </c>
      <c r="E473" s="1755"/>
      <c r="F473" s="1755"/>
      <c r="G473" s="1755"/>
      <c r="H473" s="1755"/>
      <c r="I473" s="1755"/>
      <c r="J473" s="1755"/>
      <c r="K473" s="1755"/>
      <c r="L473" s="1755"/>
      <c r="M473" s="1755"/>
      <c r="N473" s="1755"/>
      <c r="O473" s="1755"/>
      <c r="P473" s="1755"/>
      <c r="Q473" s="1755"/>
      <c r="R473" s="1755"/>
      <c r="S473" s="1755"/>
      <c r="T473" s="1755"/>
      <c r="U473" s="1755"/>
      <c r="V473" s="1756"/>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7" t="s">
        <v>2673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45" t="s">
        <v>2696</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2696</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669</v>
      </c>
      <c r="R489" s="1843"/>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9" t="s">
        <v>669</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2690</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t="s">
        <v>2691</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7">
        <v>148</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1668</v>
      </c>
      <c r="C495" s="5"/>
      <c r="D495" s="5"/>
      <c r="E495" s="5"/>
      <c r="F495" s="5"/>
      <c r="G495" s="5"/>
      <c r="H495" s="5"/>
      <c r="I495" s="5"/>
      <c r="J495" s="5"/>
      <c r="K495" s="5"/>
      <c r="L495" s="5"/>
      <c r="M495" s="1446">
        <v>0</v>
      </c>
      <c r="N495" s="1447"/>
      <c r="O495" s="1447"/>
      <c r="P495" s="1448"/>
      <c r="Q495" s="121" t="s">
        <v>1669</v>
      </c>
      <c r="R495" s="5"/>
      <c r="S495" s="5"/>
      <c r="T495" s="5"/>
      <c r="U495" s="5"/>
      <c r="V495" s="5"/>
      <c r="W495" s="5"/>
      <c r="X495" s="5"/>
      <c r="Y495" s="5"/>
      <c r="Z495" s="5"/>
      <c r="AA495" s="5"/>
      <c r="AB495" s="5"/>
      <c r="AC495" s="5"/>
      <c r="AD495" s="5"/>
      <c r="AE495" s="5"/>
      <c r="AF495" s="5"/>
      <c r="AG495" s="5"/>
      <c r="AH495" s="1446">
        <v>148</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5</v>
      </c>
      <c r="AD501" s="1663"/>
      <c r="AE501" s="1663"/>
      <c r="AF501" s="1663"/>
      <c r="AG501" s="13" t="s">
        <v>403</v>
      </c>
      <c r="AH501" s="1403">
        <v>2025</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591</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591</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5</v>
      </c>
      <c r="AD505" s="1663"/>
      <c r="AE505" s="1663"/>
      <c r="AF505" s="1663"/>
      <c r="AG505" s="13" t="s">
        <v>403</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1</v>
      </c>
      <c r="AD506" s="1663"/>
      <c r="AE506" s="1663"/>
      <c r="AF506" s="1663"/>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8">
        <v>1</v>
      </c>
      <c r="AD507" s="1339"/>
      <c r="AE507" s="1339"/>
      <c r="AF507" s="1339"/>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7"/>
      <c r="AC508" s="1662" t="s">
        <v>591</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4" t="s">
        <v>669</v>
      </c>
      <c r="AD509" s="1824"/>
      <c r="AE509" s="1824"/>
      <c r="AF509" s="1824"/>
      <c r="AG509" s="13"/>
      <c r="AH509" s="1336"/>
      <c r="AI509" s="1336"/>
      <c r="AJ509" s="1336"/>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8">
        <v>0</v>
      </c>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3">
        <v>0.25</v>
      </c>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6"/>
      <c r="AZ513" s="3"/>
      <c r="BA513" s="3"/>
      <c r="BB513" s="3"/>
      <c r="BC513" s="3"/>
      <c r="BD513" s="3"/>
      <c r="BE513" s="3"/>
      <c r="BF513" s="3"/>
      <c r="BG513" s="3"/>
      <c r="BH513" s="3"/>
      <c r="BI513" s="3"/>
      <c r="BJ513" s="3"/>
      <c r="BK513" s="3"/>
      <c r="BL513" s="3"/>
      <c r="BM513" s="3"/>
      <c r="BN513" s="3" t="s">
        <v>2104</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5</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2.95" customHeight="1">
      <c r="B515" s="1673"/>
      <c r="C515" s="1433"/>
      <c r="D515" s="1433"/>
      <c r="E515" s="1433"/>
      <c r="F515" s="1433"/>
      <c r="G515" s="1433"/>
      <c r="H515" s="1434"/>
      <c r="I515" t="s">
        <v>416</v>
      </c>
      <c r="AC515" s="1662">
        <v>9</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8">
        <v>5</v>
      </c>
      <c r="AD517" s="1339"/>
      <c r="AE517" s="1339"/>
      <c r="AF517" s="1339"/>
      <c r="AG517" s="129" t="s">
        <v>403</v>
      </c>
      <c r="AH517" s="1403">
        <v>2025</v>
      </c>
      <c r="AI517" s="1403"/>
      <c r="AJ517" s="1403"/>
      <c r="AK517" s="1404"/>
      <c r="AZ517" s="3"/>
      <c r="BB517" s="3"/>
      <c r="BC517" s="3"/>
      <c r="BD517" s="3"/>
      <c r="BE517" s="3"/>
      <c r="BF517" s="3"/>
      <c r="BG517" s="3"/>
      <c r="BH517" s="3"/>
      <c r="BI517" s="3"/>
      <c r="BJ517" s="3"/>
      <c r="BK517" s="3"/>
      <c r="BL517" s="3"/>
      <c r="BM517" s="3"/>
      <c r="BN517" s="3" t="s">
        <v>2108</v>
      </c>
    </row>
    <row r="518" spans="2:66" ht="12.95" customHeight="1">
      <c r="B518" s="1673"/>
      <c r="C518" s="1433"/>
      <c r="D518" s="1433"/>
      <c r="E518" s="1433"/>
      <c r="F518" s="1433"/>
      <c r="G518" s="1433"/>
      <c r="H518" s="1434"/>
      <c r="I518" t="s">
        <v>416</v>
      </c>
      <c r="AC518" s="1662">
        <v>9</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2109</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403</v>
      </c>
      <c r="AH519" s="1403">
        <v>2026</v>
      </c>
      <c r="AI519" s="1403"/>
      <c r="AJ519" s="1403"/>
      <c r="AK519" s="1404"/>
      <c r="BB519" s="3"/>
      <c r="BC519" s="3"/>
      <c r="BD519" s="3"/>
      <c r="BE519" s="3"/>
      <c r="BF519" s="3"/>
      <c r="BG519" s="3"/>
      <c r="BH519" s="3"/>
      <c r="BI519" s="3"/>
      <c r="BJ519" s="3"/>
      <c r="BK519" s="3"/>
      <c r="BL519" s="3"/>
      <c r="BM519" s="3"/>
      <c r="BN519" s="3" t="s">
        <v>2110</v>
      </c>
    </row>
    <row r="520" spans="2:66" ht="12.95" customHeight="1">
      <c r="B520" s="1672" t="s">
        <v>419</v>
      </c>
      <c r="C520" s="1431"/>
      <c r="D520" s="1431"/>
      <c r="E520" s="1431"/>
      <c r="F520" s="1431"/>
      <c r="G520" s="1431"/>
      <c r="H520" s="1432"/>
      <c r="I520" s="41" t="s">
        <v>420</v>
      </c>
      <c r="J520" s="42"/>
      <c r="K520" s="42"/>
      <c r="L520" s="42"/>
      <c r="M520" s="42"/>
      <c r="N520" s="42"/>
      <c r="O520" s="1751" t="s">
        <v>2719</v>
      </c>
      <c r="P520" s="1752"/>
      <c r="Q520" s="1752"/>
      <c r="R520" s="1752"/>
      <c r="S520" s="1752"/>
      <c r="T520" s="1752"/>
      <c r="U520" s="1752"/>
      <c r="V520" s="1752"/>
      <c r="W520" s="1752"/>
      <c r="X520" s="1752"/>
      <c r="Y520" s="1752"/>
      <c r="Z520" s="1752"/>
      <c r="AA520" s="1752"/>
      <c r="AB520" s="58"/>
      <c r="AC520" s="1338" t="s">
        <v>591</v>
      </c>
      <c r="AD520" s="1339"/>
      <c r="AE520" s="1339"/>
      <c r="AF520" s="1339"/>
      <c r="AG520" s="129" t="s">
        <v>403</v>
      </c>
      <c r="AH520" s="1403"/>
      <c r="AI520" s="1403"/>
      <c r="AJ520" s="1403"/>
      <c r="AK520" s="1404"/>
      <c r="AZ520" s="3"/>
      <c r="BB520" s="3"/>
      <c r="BC520" s="3"/>
      <c r="BD520" s="3"/>
      <c r="BE520" s="3"/>
      <c r="BF520" s="3"/>
      <c r="BG520" s="3"/>
      <c r="BH520" s="3"/>
      <c r="BI520" s="3"/>
      <c r="BJ520" s="3"/>
      <c r="BK520" s="3"/>
      <c r="BL520" s="3"/>
      <c r="BM520" s="3"/>
      <c r="BN520" s="3" t="s">
        <v>2111</v>
      </c>
    </row>
    <row r="521" spans="2:66" ht="12.95" customHeight="1">
      <c r="B521" s="1673"/>
      <c r="C521" s="1433"/>
      <c r="D521" s="1433"/>
      <c r="E521" s="1433"/>
      <c r="F521" s="1433"/>
      <c r="G521" s="1433"/>
      <c r="H521" s="1434"/>
      <c r="I521" s="114" t="s">
        <v>421</v>
      </c>
      <c r="AB521" s="65"/>
      <c r="AC521" s="1662" t="s">
        <v>591</v>
      </c>
      <c r="AD521" s="1663"/>
      <c r="AE521" s="1663"/>
      <c r="AF521" s="1663"/>
      <c r="AG521" s="13" t="s">
        <v>403</v>
      </c>
      <c r="AH521" s="1403"/>
      <c r="AI521" s="1403"/>
      <c r="AJ521" s="1403"/>
      <c r="AK521" s="1404"/>
      <c r="AZ521" s="3"/>
      <c r="BB521" s="3"/>
      <c r="BC521" s="3"/>
      <c r="BD521" s="3"/>
      <c r="BE521" s="3"/>
      <c r="BF521" s="3"/>
      <c r="BG521" s="3"/>
      <c r="BH521" s="3"/>
      <c r="BI521" s="3"/>
      <c r="BJ521" s="3"/>
      <c r="BK521" s="3"/>
      <c r="BL521" s="3"/>
      <c r="BM521" s="3"/>
      <c r="BN521" s="3" t="s">
        <v>2112</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1</v>
      </c>
      <c r="AD522" s="1663"/>
      <c r="AE522" s="1663"/>
      <c r="AF522" s="1663"/>
      <c r="AG522" s="38" t="s">
        <v>403</v>
      </c>
      <c r="AH522" s="1403">
        <v>2026</v>
      </c>
      <c r="AI522" s="1403"/>
      <c r="AJ522" s="1403"/>
      <c r="AK522" s="1404"/>
      <c r="AZ522" s="3"/>
      <c r="BA522" s="3"/>
      <c r="BB522" s="3"/>
      <c r="BC522" s="3"/>
      <c r="BD522" s="3"/>
      <c r="BE522" s="3"/>
      <c r="BF522" s="3"/>
      <c r="BG522" s="3"/>
      <c r="BH522" s="3"/>
      <c r="BI522" s="3"/>
      <c r="BJ522" s="3"/>
      <c r="BK522" s="3"/>
      <c r="BL522" s="3"/>
      <c r="BM522" s="3"/>
      <c r="BN522" s="3" t="s">
        <v>2113</v>
      </c>
    </row>
    <row r="523" spans="2:66" ht="12.95" customHeight="1">
      <c r="B523" s="1673"/>
      <c r="C523" s="1433"/>
      <c r="D523" s="1433"/>
      <c r="E523" s="1433"/>
      <c r="F523" s="1433"/>
      <c r="G523" s="1433"/>
      <c r="H523" s="1434"/>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2" t="s">
        <v>591</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2.95" customHeight="1">
      <c r="B524" s="1673"/>
      <c r="C524" s="1433"/>
      <c r="D524" s="1433"/>
      <c r="E524" s="1433"/>
      <c r="F524" s="1433"/>
      <c r="G524" s="1433"/>
      <c r="H524" s="1434"/>
      <c r="I524" t="s">
        <v>421</v>
      </c>
      <c r="AC524" s="1662" t="s">
        <v>591</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2.95" customHeight="1">
      <c r="B526" s="1673"/>
      <c r="C526" s="1433"/>
      <c r="D526" s="1433"/>
      <c r="E526" s="1433"/>
      <c r="F526" s="1433"/>
      <c r="G526" s="1433"/>
      <c r="H526" s="1434"/>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2" t="s">
        <v>591</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2.95" customHeight="1">
      <c r="B527" s="1673"/>
      <c r="C527" s="1433"/>
      <c r="D527" s="1433"/>
      <c r="E527" s="1433"/>
      <c r="F527" s="1433"/>
      <c r="G527" s="1433"/>
      <c r="H527" s="1434"/>
      <c r="I527" t="s">
        <v>421</v>
      </c>
      <c r="AC527" s="1662" t="s">
        <v>591</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2.95" customHeight="1">
      <c r="B529" s="1673"/>
      <c r="C529" s="1433"/>
      <c r="D529" s="1433"/>
      <c r="E529" s="1433"/>
      <c r="F529" s="1433"/>
      <c r="G529" s="1433"/>
      <c r="H529" s="1434"/>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2" t="s">
        <v>591</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2.95" customHeight="1">
      <c r="B530" s="1673"/>
      <c r="C530" s="1433"/>
      <c r="D530" s="1433"/>
      <c r="E530" s="1433"/>
      <c r="F530" s="1433"/>
      <c r="G530" s="1433"/>
      <c r="H530" s="1434"/>
      <c r="I530" t="s">
        <v>421</v>
      </c>
      <c r="AC530" s="1662" t="s">
        <v>591</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2.95" customHeight="1">
      <c r="B532" s="1673"/>
      <c r="C532" s="1433"/>
      <c r="D532" s="1433"/>
      <c r="E532" s="1433"/>
      <c r="F532" s="1433"/>
      <c r="G532" s="1433"/>
      <c r="H532" s="1434"/>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2" t="s">
        <v>591</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2.95" customHeight="1">
      <c r="B533" s="1673"/>
      <c r="C533" s="1433"/>
      <c r="D533" s="1433"/>
      <c r="E533" s="1433"/>
      <c r="F533" s="1433"/>
      <c r="G533" s="1433"/>
      <c r="H533" s="1434"/>
      <c r="I533" t="s">
        <v>421</v>
      </c>
      <c r="AC533" s="1662" t="s">
        <v>591</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2.95" customHeight="1">
      <c r="B535" s="1673"/>
      <c r="C535" s="1433"/>
      <c r="D535" s="1433"/>
      <c r="E535" s="1433"/>
      <c r="F535" s="1433"/>
      <c r="G535" s="1433"/>
      <c r="H535" s="1434"/>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2" t="s">
        <v>591</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2.95" customHeight="1">
      <c r="B536" s="1673"/>
      <c r="C536" s="1433"/>
      <c r="D536" s="1433"/>
      <c r="E536" s="1433"/>
      <c r="F536" s="1433"/>
      <c r="G536" s="1433"/>
      <c r="H536" s="1434"/>
      <c r="I536" t="s">
        <v>421</v>
      </c>
      <c r="AC536" s="1662" t="s">
        <v>591</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1</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10</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10</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12</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2102</v>
      </c>
      <c r="C551" s="1431"/>
      <c r="D551" s="1431"/>
      <c r="E551" s="1431"/>
      <c r="F551" s="1431"/>
      <c r="G551" s="1431"/>
      <c r="H551" s="1431"/>
      <c r="I551" s="1431"/>
      <c r="J551" s="1431"/>
      <c r="K551" s="1431"/>
      <c r="L551" s="1432"/>
      <c r="M551" s="1672" t="s">
        <v>2103</v>
      </c>
      <c r="N551" s="1431"/>
      <c r="O551" s="1431"/>
      <c r="P551" s="1432"/>
      <c r="Q551" s="1672" t="s">
        <v>2129</v>
      </c>
      <c r="R551" s="1431"/>
      <c r="S551" s="1432"/>
      <c r="T551" s="1672" t="s">
        <v>2130</v>
      </c>
      <c r="U551" s="1431"/>
      <c r="V551" s="1432"/>
      <c r="W551" s="1672" t="s">
        <v>453</v>
      </c>
      <c r="X551" s="1431"/>
      <c r="Y551" s="1432"/>
      <c r="Z551" s="1672" t="s">
        <v>1851</v>
      </c>
      <c r="AA551" s="1431"/>
      <c r="AB551" s="1431"/>
      <c r="AC551" s="1431"/>
      <c r="AD551" s="1432"/>
      <c r="AE551" s="1672" t="s">
        <v>1675</v>
      </c>
      <c r="AF551" s="1431"/>
      <c r="AG551" s="1431"/>
      <c r="AH551" s="1432"/>
      <c r="AI551" s="1672" t="s">
        <v>1676</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4" t="s">
        <v>2711</v>
      </c>
      <c r="D554" s="1694"/>
      <c r="E554" s="1694"/>
      <c r="F554" s="1694"/>
      <c r="G554" s="1694"/>
      <c r="H554" s="1694"/>
      <c r="I554" s="1694"/>
      <c r="J554" s="1694"/>
      <c r="K554" s="1694"/>
      <c r="L554" s="1694"/>
      <c r="M554" s="1694" t="s">
        <v>2119</v>
      </c>
      <c r="N554" s="1694"/>
      <c r="O554" s="1694"/>
      <c r="P554" s="1694"/>
      <c r="Q554" s="1453">
        <v>36</v>
      </c>
      <c r="R554" s="1453"/>
      <c r="S554" s="1454"/>
      <c r="T554" s="1452"/>
      <c r="U554" s="1453"/>
      <c r="V554" s="1454"/>
      <c r="W554" s="1455">
        <v>6.25E-2</v>
      </c>
      <c r="X554" s="1456"/>
      <c r="Y554" s="1457"/>
      <c r="Z554" s="1695" t="s">
        <v>2692</v>
      </c>
      <c r="AA554" s="1695"/>
      <c r="AB554" s="1695"/>
      <c r="AC554" s="1695"/>
      <c r="AD554" s="1695"/>
      <c r="AE554" s="1675">
        <v>2</v>
      </c>
      <c r="AF554" s="1676"/>
      <c r="AG554" s="1676"/>
      <c r="AH554" s="1677"/>
      <c r="AI554" s="1678"/>
      <c r="AJ554" s="1679"/>
      <c r="AK554" s="1679"/>
      <c r="AL554" s="1680"/>
      <c r="AM554" s="1668">
        <v>37236565</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2711</v>
      </c>
      <c r="D555" s="1681"/>
      <c r="E555" s="1681"/>
      <c r="F555" s="1681"/>
      <c r="G555" s="1681"/>
      <c r="H555" s="1681"/>
      <c r="I555" s="1681"/>
      <c r="J555" s="1681"/>
      <c r="K555" s="1681"/>
      <c r="L555" s="1681"/>
      <c r="M555" s="1694" t="s">
        <v>2120</v>
      </c>
      <c r="N555" s="1694"/>
      <c r="O555" s="1694"/>
      <c r="P555" s="1694"/>
      <c r="Q555" s="1452">
        <v>36</v>
      </c>
      <c r="R555" s="1453"/>
      <c r="S555" s="1454"/>
      <c r="T555" s="1452"/>
      <c r="U555" s="1453"/>
      <c r="V555" s="1454"/>
      <c r="W555" s="1455">
        <v>6.25E-2</v>
      </c>
      <c r="X555" s="1456"/>
      <c r="Y555" s="1457"/>
      <c r="Z555" s="1695" t="s">
        <v>2692</v>
      </c>
      <c r="AA555" s="1695"/>
      <c r="AB555" s="1695"/>
      <c r="AC555" s="1695"/>
      <c r="AD555" s="1695"/>
      <c r="AE555" s="1675">
        <v>2</v>
      </c>
      <c r="AF555" s="1676"/>
      <c r="AG555" s="1676"/>
      <c r="AH555" s="1677"/>
      <c r="AI555" s="1678"/>
      <c r="AJ555" s="1679"/>
      <c r="AK555" s="1679"/>
      <c r="AL555" s="1680"/>
      <c r="AM555" s="1668">
        <v>5816902</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2711</v>
      </c>
      <c r="D556" s="1681"/>
      <c r="E556" s="1681"/>
      <c r="F556" s="1681"/>
      <c r="G556" s="1681"/>
      <c r="H556" s="1681"/>
      <c r="I556" s="1681"/>
      <c r="J556" s="1681"/>
      <c r="K556" s="1681"/>
      <c r="L556" s="1681"/>
      <c r="M556" s="1694" t="s">
        <v>2118</v>
      </c>
      <c r="N556" s="1694"/>
      <c r="O556" s="1694"/>
      <c r="P556" s="1694"/>
      <c r="Q556" s="1452">
        <v>36</v>
      </c>
      <c r="R556" s="1453"/>
      <c r="S556" s="1454"/>
      <c r="T556" s="1452"/>
      <c r="U556" s="1453"/>
      <c r="V556" s="1454"/>
      <c r="W556" s="1455">
        <v>6.7500000000000004E-2</v>
      </c>
      <c r="X556" s="1456"/>
      <c r="Y556" s="1457"/>
      <c r="Z556" s="1695" t="s">
        <v>2692</v>
      </c>
      <c r="AA556" s="1695"/>
      <c r="AB556" s="1695"/>
      <c r="AC556" s="1695"/>
      <c r="AD556" s="1695"/>
      <c r="AE556" s="1675">
        <v>2</v>
      </c>
      <c r="AF556" s="1676"/>
      <c r="AG556" s="1676"/>
      <c r="AH556" s="1677"/>
      <c r="AI556" s="1678"/>
      <c r="AJ556" s="1679"/>
      <c r="AK556" s="1679"/>
      <c r="AL556" s="1680"/>
      <c r="AM556" s="1668">
        <f>1797442</f>
        <v>1797442</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2671</v>
      </c>
      <c r="D557" s="1681"/>
      <c r="E557" s="1681"/>
      <c r="F557" s="1681"/>
      <c r="G557" s="1681"/>
      <c r="H557" s="1681"/>
      <c r="I557" s="1681"/>
      <c r="J557" s="1681"/>
      <c r="K557" s="1681"/>
      <c r="L557" s="1681"/>
      <c r="M557" s="1694" t="s">
        <v>2122</v>
      </c>
      <c r="N557" s="1694"/>
      <c r="O557" s="1694"/>
      <c r="P557" s="1694"/>
      <c r="Q557" s="1452">
        <f>99*12</f>
        <v>1188</v>
      </c>
      <c r="R557" s="1453"/>
      <c r="S557" s="1454"/>
      <c r="T557" s="1452"/>
      <c r="U557" s="1453"/>
      <c r="V557" s="1454"/>
      <c r="W557" s="1455">
        <v>5.3999999999999999E-2</v>
      </c>
      <c r="X557" s="1456"/>
      <c r="Y557" s="1457"/>
      <c r="Z557" s="1695" t="s">
        <v>2692</v>
      </c>
      <c r="AA557" s="1695"/>
      <c r="AB557" s="1695"/>
      <c r="AC557" s="1695"/>
      <c r="AD557" s="1695"/>
      <c r="AE557" s="1675">
        <v>1</v>
      </c>
      <c r="AF557" s="1676"/>
      <c r="AG557" s="1676"/>
      <c r="AH557" s="1677"/>
      <c r="AI557" s="1678"/>
      <c r="AJ557" s="1679"/>
      <c r="AK557" s="1679"/>
      <c r="AL557" s="1680"/>
      <c r="AM557" s="1668">
        <v>12560000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
        <v>2711</v>
      </c>
      <c r="D558" s="1681"/>
      <c r="E558" s="1681"/>
      <c r="F558" s="1681"/>
      <c r="G558" s="1681"/>
      <c r="H558" s="1681"/>
      <c r="I558" s="1681"/>
      <c r="J558" s="1681"/>
      <c r="K558" s="1681"/>
      <c r="L558" s="1681"/>
      <c r="M558" s="1694" t="s">
        <v>2110</v>
      </c>
      <c r="N558" s="1694"/>
      <c r="O558" s="1694"/>
      <c r="P558" s="1694"/>
      <c r="Q558" s="1452"/>
      <c r="R558" s="1453"/>
      <c r="S558" s="1454"/>
      <c r="T558" s="1452"/>
      <c r="U558" s="1453"/>
      <c r="V558" s="1454"/>
      <c r="W558" s="1455"/>
      <c r="X558" s="1456"/>
      <c r="Y558" s="1457"/>
      <c r="Z558" s="1695" t="s">
        <v>591</v>
      </c>
      <c r="AA558" s="1695"/>
      <c r="AB558" s="1695"/>
      <c r="AC558" s="1695"/>
      <c r="AD558" s="1695"/>
      <c r="AE558" s="1675"/>
      <c r="AF558" s="1676"/>
      <c r="AG558" s="1676"/>
      <c r="AH558" s="1677"/>
      <c r="AI558" s="1678"/>
      <c r="AJ558" s="1679"/>
      <c r="AK558" s="1679"/>
      <c r="AL558" s="1680"/>
      <c r="AM558" s="1668">
        <f>4857645-184591-712788+2861-4875</f>
        <v>3958252</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1" t="s">
        <v>2693</v>
      </c>
      <c r="D559" s="1681"/>
      <c r="E559" s="1681"/>
      <c r="F559" s="1681"/>
      <c r="G559" s="1681"/>
      <c r="H559" s="1681"/>
      <c r="I559" s="1681"/>
      <c r="J559" s="1681"/>
      <c r="K559" s="1681"/>
      <c r="L559" s="1681"/>
      <c r="M559" s="1694" t="s">
        <v>2121</v>
      </c>
      <c r="N559" s="1694"/>
      <c r="O559" s="1694"/>
      <c r="P559" s="1694"/>
      <c r="Q559" s="1452"/>
      <c r="R559" s="1453"/>
      <c r="S559" s="1454"/>
      <c r="T559" s="1452"/>
      <c r="U559" s="1453"/>
      <c r="V559" s="1454"/>
      <c r="W559" s="1455"/>
      <c r="X559" s="1456"/>
      <c r="Y559" s="1457"/>
      <c r="Z559" s="1695" t="s">
        <v>591</v>
      </c>
      <c r="AA559" s="1695"/>
      <c r="AB559" s="1695"/>
      <c r="AC559" s="1695"/>
      <c r="AD559" s="1695"/>
      <c r="AE559" s="1675"/>
      <c r="AF559" s="1676"/>
      <c r="AG559" s="1676"/>
      <c r="AH559" s="1677"/>
      <c r="AI559" s="1678"/>
      <c r="AJ559" s="1679"/>
      <c r="AK559" s="1679"/>
      <c r="AL559" s="1680"/>
      <c r="AM559" s="1668">
        <v>59595</v>
      </c>
      <c r="AN559" s="1669"/>
      <c r="AO559" s="1669"/>
      <c r="AP559" s="1669"/>
      <c r="AQ559" s="1669"/>
      <c r="AR559" s="1669"/>
      <c r="AS559" s="1670"/>
      <c r="AT559" s="1148" t="str">
        <f t="shared" si="0"/>
        <v/>
      </c>
      <c r="AU559" s="1147"/>
      <c r="BB559" s="3"/>
      <c r="BC559" s="3"/>
      <c r="BD559" s="3"/>
      <c r="BE559" s="3"/>
      <c r="BF559" s="3"/>
      <c r="BG559" s="3"/>
      <c r="BH559" s="3" t="s">
        <v>584</v>
      </c>
      <c r="BI559" s="3" t="str">
        <f>AG665</f>
        <v>No</v>
      </c>
    </row>
    <row r="560" spans="1:61" ht="12.95" customHeight="1">
      <c r="B560" s="52" t="s">
        <v>455</v>
      </c>
      <c r="C560" s="1681" t="s">
        <v>2731</v>
      </c>
      <c r="D560" s="1681"/>
      <c r="E560" s="1681"/>
      <c r="F560" s="1681"/>
      <c r="G560" s="1681"/>
      <c r="H560" s="1681"/>
      <c r="I560" s="1681"/>
      <c r="J560" s="1681"/>
      <c r="K560" s="1681"/>
      <c r="L560" s="1681"/>
      <c r="M560" s="1694" t="s">
        <v>2109</v>
      </c>
      <c r="N560" s="1694"/>
      <c r="O560" s="1694"/>
      <c r="P560" s="1694"/>
      <c r="Q560" s="1452"/>
      <c r="R560" s="1453"/>
      <c r="S560" s="1454"/>
      <c r="T560" s="1452"/>
      <c r="U560" s="1453"/>
      <c r="V560" s="1454"/>
      <c r="W560" s="1455"/>
      <c r="X560" s="1456"/>
      <c r="Y560" s="1457"/>
      <c r="Z560" s="1695" t="s">
        <v>591</v>
      </c>
      <c r="AA560" s="1695"/>
      <c r="AB560" s="1695"/>
      <c r="AC560" s="1695"/>
      <c r="AD560" s="1695"/>
      <c r="AE560" s="1675"/>
      <c r="AF560" s="1676"/>
      <c r="AG560" s="1676"/>
      <c r="AH560" s="1677"/>
      <c r="AI560" s="1678"/>
      <c r="AJ560" s="1679"/>
      <c r="AK560" s="1679"/>
      <c r="AL560" s="1680"/>
      <c r="AM560" s="1668">
        <v>3078184</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t="s">
        <v>2321</v>
      </c>
      <c r="D561" s="1681"/>
      <c r="E561" s="1681"/>
      <c r="F561" s="1681"/>
      <c r="G561" s="1681"/>
      <c r="H561" s="1681"/>
      <c r="I561" s="1681"/>
      <c r="J561" s="1681"/>
      <c r="K561" s="1681"/>
      <c r="L561" s="1681"/>
      <c r="M561" s="1694" t="s">
        <v>2106</v>
      </c>
      <c r="N561" s="1694"/>
      <c r="O561" s="1694"/>
      <c r="P561" s="1694"/>
      <c r="Q561" s="1452"/>
      <c r="R561" s="1453"/>
      <c r="S561" s="1454"/>
      <c r="T561" s="1452"/>
      <c r="U561" s="1453"/>
      <c r="V561" s="1454"/>
      <c r="W561" s="1455"/>
      <c r="X561" s="1456"/>
      <c r="Y561" s="1457"/>
      <c r="Z561" s="1695" t="s">
        <v>591</v>
      </c>
      <c r="AA561" s="1695"/>
      <c r="AB561" s="1695"/>
      <c r="AC561" s="1695"/>
      <c r="AD561" s="1695"/>
      <c r="AE561" s="1675"/>
      <c r="AF561" s="1676"/>
      <c r="AG561" s="1676"/>
      <c r="AH561" s="1677"/>
      <c r="AI561" s="1678"/>
      <c r="AJ561" s="1679"/>
      <c r="AK561" s="1679"/>
      <c r="AL561" s="1680"/>
      <c r="AM561" s="1668">
        <f>AO631</f>
        <v>5432946</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t="s">
        <v>2694</v>
      </c>
      <c r="D562" s="1681"/>
      <c r="E562" s="1681"/>
      <c r="F562" s="1681"/>
      <c r="G562" s="1681"/>
      <c r="H562" s="1681"/>
      <c r="I562" s="1681"/>
      <c r="J562" s="1681"/>
      <c r="K562" s="1681"/>
      <c r="L562" s="1681"/>
      <c r="M562" s="1694" t="s">
        <v>2105</v>
      </c>
      <c r="N562" s="1694"/>
      <c r="O562" s="1694"/>
      <c r="P562" s="1694"/>
      <c r="Q562" s="1452"/>
      <c r="R562" s="1453"/>
      <c r="S562" s="1454"/>
      <c r="T562" s="1452"/>
      <c r="U562" s="1453"/>
      <c r="V562" s="1454"/>
      <c r="W562" s="1455"/>
      <c r="X562" s="1456"/>
      <c r="Y562" s="1457"/>
      <c r="Z562" s="1695" t="s">
        <v>591</v>
      </c>
      <c r="AA562" s="1695"/>
      <c r="AB562" s="1695"/>
      <c r="AC562" s="1695"/>
      <c r="AD562" s="1695"/>
      <c r="AE562" s="1675"/>
      <c r="AF562" s="1676"/>
      <c r="AG562" s="1676"/>
      <c r="AH562" s="1677"/>
      <c r="AI562" s="1678"/>
      <c r="AJ562" s="1679"/>
      <c r="AK562" s="1679"/>
      <c r="AL562" s="1680"/>
      <c r="AM562" s="1668">
        <f>575585+1859085+413579-91807+319</f>
        <v>2756761</v>
      </c>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4" t="s">
        <v>1183</v>
      </c>
      <c r="N563" s="1694"/>
      <c r="O563" s="1694"/>
      <c r="P563" s="1694"/>
      <c r="Q563" s="1452"/>
      <c r="R563" s="1453"/>
      <c r="S563" s="1454"/>
      <c r="T563" s="1452"/>
      <c r="U563" s="1453"/>
      <c r="V563" s="1454"/>
      <c r="W563" s="1455"/>
      <c r="X563" s="1456"/>
      <c r="Y563" s="1457"/>
      <c r="Z563" s="1695" t="s">
        <v>1183</v>
      </c>
      <c r="AA563" s="1695"/>
      <c r="AB563" s="1695"/>
      <c r="AC563" s="1695"/>
      <c r="AD563" s="1695"/>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4" t="s">
        <v>1183</v>
      </c>
      <c r="N564" s="1694"/>
      <c r="O564" s="1694"/>
      <c r="P564" s="1694"/>
      <c r="Q564" s="1452"/>
      <c r="R564" s="1453"/>
      <c r="S564" s="1454"/>
      <c r="T564" s="1452"/>
      <c r="U564" s="1453"/>
      <c r="V564" s="1454"/>
      <c r="W564" s="1455"/>
      <c r="X564" s="1456"/>
      <c r="Y564" s="1457"/>
      <c r="Z564" s="1695" t="s">
        <v>1183</v>
      </c>
      <c r="AA564" s="1695"/>
      <c r="AB564" s="1695"/>
      <c r="AC564" s="1695"/>
      <c r="AD564" s="1695"/>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4" t="s">
        <v>1183</v>
      </c>
      <c r="N565" s="1694"/>
      <c r="O565" s="1694"/>
      <c r="P565" s="1694"/>
      <c r="Q565" s="1452"/>
      <c r="R565" s="1453"/>
      <c r="S565" s="1454"/>
      <c r="T565" s="1452"/>
      <c r="U565" s="1453"/>
      <c r="V565" s="1454"/>
      <c r="W565" s="1455"/>
      <c r="X565" s="1456"/>
      <c r="Y565" s="1457"/>
      <c r="Z565" s="1695" t="s">
        <v>1183</v>
      </c>
      <c r="AA565" s="1695"/>
      <c r="AB565" s="1695"/>
      <c r="AC565" s="1695"/>
      <c r="AD565" s="1695"/>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72696647</v>
      </c>
      <c r="AN566" s="1616"/>
      <c r="AO566" s="1616"/>
      <c r="AP566" s="1616"/>
      <c r="AQ566" s="1616"/>
      <c r="AR566" s="1616"/>
      <c r="AS566" s="161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Berkadia</v>
      </c>
      <c r="H568" s="1359"/>
      <c r="I568" s="1359"/>
      <c r="J568" s="1359"/>
      <c r="K568" s="1359"/>
      <c r="L568" s="1359"/>
      <c r="M568" s="1359"/>
      <c r="N568" s="1359"/>
      <c r="O568" s="1359"/>
      <c r="P568" s="1359"/>
      <c r="Q568" s="1359"/>
      <c r="R568" s="1359"/>
      <c r="S568" s="8"/>
      <c r="T568" s="55" t="s">
        <v>113</v>
      </c>
      <c r="U568" t="s">
        <v>463</v>
      </c>
      <c r="Z568" s="1359" t="str">
        <f>C555</f>
        <v>Berkadia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2735</v>
      </c>
      <c r="H569" s="1372"/>
      <c r="I569" s="1372"/>
      <c r="J569" s="1372"/>
      <c r="K569" s="1372"/>
      <c r="L569" s="1372"/>
      <c r="M569" s="1372"/>
      <c r="N569" s="1372"/>
      <c r="O569" s="1372"/>
      <c r="P569" s="1372"/>
      <c r="Q569" s="1372"/>
      <c r="R569" s="1372"/>
      <c r="S569" s="8"/>
      <c r="T569" s="22"/>
      <c r="U569" t="s">
        <v>85</v>
      </c>
      <c r="Z569" s="1372" t="s">
        <v>2735</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2736</v>
      </c>
      <c r="H570" s="1372"/>
      <c r="I570" s="1372"/>
      <c r="J570" s="1372"/>
      <c r="K570" s="1372"/>
      <c r="L570" s="1372"/>
      <c r="M570" s="1372"/>
      <c r="N570" s="1372"/>
      <c r="O570" s="1372"/>
      <c r="P570" s="1372"/>
      <c r="Q570" s="1372"/>
      <c r="R570" s="1372"/>
      <c r="T570" s="22"/>
      <c r="U570" t="s">
        <v>580</v>
      </c>
      <c r="Z570" s="1349" t="s">
        <v>2736</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2732</v>
      </c>
      <c r="H571" s="1372"/>
      <c r="I571" s="1372"/>
      <c r="J571" s="1372"/>
      <c r="K571" s="1372"/>
      <c r="L571" s="1372"/>
      <c r="M571" s="1372"/>
      <c r="N571" s="1372"/>
      <c r="O571" s="1372"/>
      <c r="P571" s="1372"/>
      <c r="Q571" s="1372"/>
      <c r="R571" s="1372"/>
      <c r="S571" s="8"/>
      <c r="T571" s="22"/>
      <c r="U571" t="s">
        <v>17</v>
      </c>
      <c r="Z571" s="1349" t="s">
        <v>2732</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692" t="s">
        <v>2733</v>
      </c>
      <c r="H572" s="1347"/>
      <c r="I572" s="1347"/>
      <c r="J572" s="1347"/>
      <c r="K572" s="1347"/>
      <c r="L572" s="1347"/>
      <c r="O572" s="33" t="s">
        <v>206</v>
      </c>
      <c r="P572" s="1437"/>
      <c r="Q572" s="1437"/>
      <c r="R572" s="1437"/>
      <c r="S572" s="10"/>
      <c r="T572" s="22"/>
      <c r="U572" t="s">
        <v>316</v>
      </c>
      <c r="Z572" s="1692" t="s">
        <v>2733</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2737</v>
      </c>
      <c r="I573" s="1372"/>
      <c r="J573" s="1372"/>
      <c r="K573" s="1372"/>
      <c r="L573" s="1372"/>
      <c r="M573" s="1372"/>
      <c r="N573" s="1372"/>
      <c r="O573" s="1372"/>
      <c r="P573" s="1372"/>
      <c r="Q573" s="1372"/>
      <c r="R573" s="1372"/>
      <c r="S573" s="8"/>
      <c r="T573" s="22"/>
      <c r="U573" t="s">
        <v>18</v>
      </c>
      <c r="AA573" s="1372" t="s">
        <v>2738</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1184</v>
      </c>
      <c r="H574" s="8"/>
      <c r="I574" s="8"/>
      <c r="J574" s="8"/>
      <c r="K574" s="8"/>
      <c r="L574" s="8"/>
      <c r="M574" s="1697" t="s">
        <v>2734</v>
      </c>
      <c r="N574" s="1697"/>
      <c r="O574" s="1697"/>
      <c r="P574" s="1697"/>
      <c r="Q574" s="1697"/>
      <c r="R574" s="1697"/>
      <c r="S574" s="8"/>
      <c r="T574" s="22"/>
      <c r="U574" s="320" t="s">
        <v>1184</v>
      </c>
      <c r="AA574" s="8"/>
      <c r="AB574" s="8"/>
      <c r="AC574" s="8"/>
      <c r="AD574" s="8"/>
      <c r="AE574" s="8"/>
      <c r="AF574" s="1697" t="s">
        <v>2734</v>
      </c>
      <c r="AG574" s="1697"/>
      <c r="AH574" s="1697"/>
      <c r="AI574" s="1697"/>
      <c r="AJ574" s="1697"/>
      <c r="AK574" s="1697"/>
      <c r="BB574" s="3"/>
      <c r="BC574" s="3"/>
      <c r="BD574" s="3"/>
      <c r="BE574" s="3"/>
      <c r="BF574" s="3"/>
      <c r="BG574" s="3"/>
      <c r="BH574" s="3"/>
      <c r="BI574" s="3"/>
    </row>
    <row r="575" spans="1:61" ht="12.95" customHeight="1">
      <c r="A575" s="22"/>
      <c r="B575" t="s">
        <v>20</v>
      </c>
      <c r="N575" s="1333" t="s">
        <v>545</v>
      </c>
      <c r="O575" s="1333"/>
      <c r="T575" s="22"/>
      <c r="U575" t="s">
        <v>20</v>
      </c>
      <c r="AG575" s="1333" t="s">
        <v>545</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Berkadia</v>
      </c>
      <c r="H577" s="1359"/>
      <c r="I577" s="1359"/>
      <c r="J577" s="1359"/>
      <c r="K577" s="1359"/>
      <c r="L577" s="1359"/>
      <c r="M577" s="1359"/>
      <c r="N577" s="1359"/>
      <c r="O577" s="1359"/>
      <c r="P577" s="1359"/>
      <c r="Q577" s="1359"/>
      <c r="R577" s="1359"/>
      <c r="T577" s="55" t="s">
        <v>581</v>
      </c>
      <c r="U577" t="s">
        <v>463</v>
      </c>
      <c r="Z577" s="1359" t="str">
        <f>C557</f>
        <v>Safehold, Inc.</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2735</v>
      </c>
      <c r="H578" s="1372"/>
      <c r="I578" s="1372"/>
      <c r="J578" s="1372"/>
      <c r="K578" s="1372"/>
      <c r="L578" s="1372"/>
      <c r="M578" s="1372"/>
      <c r="N578" s="1372"/>
      <c r="O578" s="1372"/>
      <c r="P578" s="1372"/>
      <c r="Q578" s="1372"/>
      <c r="R578" s="1372"/>
      <c r="T578" s="22"/>
      <c r="U578" t="s">
        <v>85</v>
      </c>
      <c r="Z578" s="1372" t="s">
        <v>2722</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2736</v>
      </c>
      <c r="H579" s="1349"/>
      <c r="I579" s="1349"/>
      <c r="J579" s="1349"/>
      <c r="K579" s="1349"/>
      <c r="L579" s="1349"/>
      <c r="M579" s="1349"/>
      <c r="N579" s="1349"/>
      <c r="O579" s="1349"/>
      <c r="P579" s="1349"/>
      <c r="Q579" s="1349"/>
      <c r="R579" s="1349"/>
      <c r="T579" s="22"/>
      <c r="U579" t="s">
        <v>580</v>
      </c>
      <c r="Z579" s="1349" t="s">
        <v>2723</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2732</v>
      </c>
      <c r="H580" s="1349"/>
      <c r="I580" s="1349"/>
      <c r="J580" s="1349"/>
      <c r="K580" s="1349"/>
      <c r="L580" s="1349"/>
      <c r="M580" s="1349"/>
      <c r="N580" s="1349"/>
      <c r="O580" s="1349"/>
      <c r="P580" s="1349"/>
      <c r="Q580" s="1349"/>
      <c r="R580" s="1349"/>
      <c r="T580" s="22"/>
      <c r="U580" t="s">
        <v>17</v>
      </c>
      <c r="Z580" s="1349" t="s">
        <v>2724</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2733</v>
      </c>
      <c r="H581" s="1347"/>
      <c r="I581" s="1347"/>
      <c r="J581" s="1347"/>
      <c r="K581" s="1347"/>
      <c r="L581" s="1347"/>
      <c r="O581" s="33" t="s">
        <v>206</v>
      </c>
      <c r="P581" s="1437"/>
      <c r="Q581" s="1437"/>
      <c r="R581" s="1437"/>
      <c r="T581" s="22"/>
      <c r="U581" t="s">
        <v>316</v>
      </c>
      <c r="Z581" s="1347" t="s">
        <v>2725</v>
      </c>
      <c r="AA581" s="1347"/>
      <c r="AB581" s="1347"/>
      <c r="AC581" s="1347"/>
      <c r="AD581" s="1347"/>
      <c r="AE581" s="1347"/>
      <c r="AH581" s="33" t="s">
        <v>206</v>
      </c>
      <c r="AI581" s="1437"/>
      <c r="AJ581" s="1437"/>
      <c r="AK581" s="1437"/>
      <c r="BB581" s="3"/>
      <c r="BC581" s="3"/>
    </row>
    <row r="582" spans="1:55" ht="12.95" customHeight="1">
      <c r="A582" s="22"/>
      <c r="B582" t="s">
        <v>18</v>
      </c>
      <c r="H582" s="1372" t="s">
        <v>2739</v>
      </c>
      <c r="I582" s="1372"/>
      <c r="J582" s="1372"/>
      <c r="K582" s="1372"/>
      <c r="L582" s="1372"/>
      <c r="M582" s="1372"/>
      <c r="N582" s="1372"/>
      <c r="O582" s="1372"/>
      <c r="P582" s="1372"/>
      <c r="Q582" s="1372"/>
      <c r="R582" s="1372"/>
      <c r="T582" s="22"/>
      <c r="U582" t="s">
        <v>18</v>
      </c>
      <c r="AA582" s="1372" t="s">
        <v>2726</v>
      </c>
      <c r="AB582" s="1372"/>
      <c r="AC582" s="1372"/>
      <c r="AD582" s="1372"/>
      <c r="AE582" s="1372"/>
      <c r="AF582" s="1372"/>
      <c r="AG582" s="1372"/>
      <c r="AH582" s="1372"/>
      <c r="AI582" s="1372"/>
      <c r="AJ582" s="1372"/>
      <c r="AK582" s="1372"/>
      <c r="BB582" s="3"/>
      <c r="BC582" s="3"/>
    </row>
    <row r="583" spans="1:55" ht="12.95" customHeight="1">
      <c r="A583" s="22"/>
      <c r="B583" t="s">
        <v>20</v>
      </c>
      <c r="N583" s="1333" t="s">
        <v>545</v>
      </c>
      <c r="O583" s="1333"/>
      <c r="T583" s="22"/>
      <c r="U583" t="s">
        <v>20</v>
      </c>
      <c r="AG583" s="1333" t="s">
        <v>545</v>
      </c>
      <c r="AH583" s="1333"/>
      <c r="BB583" s="3"/>
      <c r="BC583" s="3"/>
    </row>
    <row r="584" spans="1:55" ht="12.95" customHeight="1">
      <c r="A584" s="22"/>
      <c r="T584" s="22"/>
      <c r="BB584" s="3"/>
      <c r="BC584" s="3"/>
    </row>
    <row r="585" spans="1:55" ht="12.95" customHeight="1">
      <c r="A585" s="55" t="s">
        <v>763</v>
      </c>
      <c r="B585" t="s">
        <v>463</v>
      </c>
      <c r="G585" s="1359" t="str">
        <f>C558</f>
        <v>Berkadia</v>
      </c>
      <c r="H585" s="1359"/>
      <c r="I585" s="1359"/>
      <c r="J585" s="1359"/>
      <c r="K585" s="1359"/>
      <c r="L585" s="1359"/>
      <c r="M585" s="1359"/>
      <c r="N585" s="1359"/>
      <c r="O585" s="1359"/>
      <c r="P585" s="1359"/>
      <c r="Q585" s="1359"/>
      <c r="R585" s="1359"/>
      <c r="T585" s="55" t="s">
        <v>584</v>
      </c>
      <c r="U585" t="s">
        <v>463</v>
      </c>
      <c r="Z585" s="1359" t="str">
        <f>C559</f>
        <v>Lease Up Income During Construction</v>
      </c>
      <c r="AA585" s="1359"/>
      <c r="AB585" s="1359"/>
      <c r="AC585" s="1359"/>
      <c r="AD585" s="1359"/>
      <c r="AE585" s="1359"/>
      <c r="AF585" s="1359"/>
      <c r="AG585" s="1359"/>
      <c r="AH585" s="1359"/>
      <c r="AI585" s="1359"/>
      <c r="AJ585" s="1359"/>
      <c r="AK585" s="1359"/>
      <c r="BB585" s="3"/>
      <c r="BC585" s="3"/>
    </row>
    <row r="586" spans="1:55" ht="12.95" customHeight="1">
      <c r="A586" s="22"/>
      <c r="B586" t="s">
        <v>85</v>
      </c>
      <c r="G586" s="1743" t="s">
        <v>2748</v>
      </c>
      <c r="H586" s="1372"/>
      <c r="I586" s="1372"/>
      <c r="J586" s="1372"/>
      <c r="K586" s="1372"/>
      <c r="L586" s="1372"/>
      <c r="M586" s="1372"/>
      <c r="N586" s="1372"/>
      <c r="O586" s="1372"/>
      <c r="P586" s="1372"/>
      <c r="Q586" s="1372"/>
      <c r="R586" s="1372"/>
      <c r="T586" s="22"/>
      <c r="U586" t="s">
        <v>85</v>
      </c>
      <c r="Z586" s="1372" t="str">
        <f>M233</f>
        <v>12121 Wilshire Blvd, Suite 801</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2747</v>
      </c>
      <c r="H587" s="1372"/>
      <c r="I587" s="1372"/>
      <c r="J587" s="1372"/>
      <c r="K587" s="1372"/>
      <c r="L587" s="1372"/>
      <c r="M587" s="1372"/>
      <c r="N587" s="1372"/>
      <c r="O587" s="1372"/>
      <c r="P587" s="1372"/>
      <c r="Q587" s="1372"/>
      <c r="R587" s="1372"/>
      <c r="T587" s="22"/>
      <c r="U587" t="s">
        <v>580</v>
      </c>
      <c r="Z587" s="1349" t="str">
        <f>M234</f>
        <v>Los Angeles</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2744</v>
      </c>
      <c r="H588" s="1372"/>
      <c r="I588" s="1372"/>
      <c r="J588" s="1372"/>
      <c r="K588" s="1372"/>
      <c r="L588" s="1372"/>
      <c r="M588" s="1372"/>
      <c r="N588" s="1372"/>
      <c r="O588" s="1372"/>
      <c r="P588" s="1372"/>
      <c r="Q588" s="1372"/>
      <c r="R588" s="1372"/>
      <c r="T588" s="22"/>
      <c r="U588" t="s">
        <v>17</v>
      </c>
      <c r="Z588" s="1349" t="str">
        <f>M246</f>
        <v>Kim Borja</v>
      </c>
      <c r="AA588" s="1349"/>
      <c r="AB588" s="1349"/>
      <c r="AC588" s="1349"/>
      <c r="AD588" s="1349"/>
      <c r="AE588" s="1349"/>
      <c r="AF588" s="1349"/>
      <c r="AG588" s="1349"/>
      <c r="AH588" s="1349"/>
      <c r="AI588" s="1349"/>
      <c r="AJ588" s="1349"/>
      <c r="AK588" s="1349"/>
    </row>
    <row r="589" spans="1:55" ht="12.95" customHeight="1">
      <c r="A589" s="22"/>
      <c r="B589" t="s">
        <v>316</v>
      </c>
      <c r="G589" s="1692" t="s">
        <v>2745</v>
      </c>
      <c r="H589" s="1347"/>
      <c r="I589" s="1347"/>
      <c r="J589" s="1347"/>
      <c r="K589" s="1347"/>
      <c r="L589" s="1347"/>
      <c r="O589" s="33" t="s">
        <v>206</v>
      </c>
      <c r="P589" s="1437"/>
      <c r="Q589" s="1437"/>
      <c r="R589" s="1437"/>
      <c r="T589" s="22"/>
      <c r="U589" t="s">
        <v>316</v>
      </c>
      <c r="Z589" s="1347" t="str">
        <f>M247</f>
        <v>253.228.7889</v>
      </c>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t="s">
        <v>2746</v>
      </c>
      <c r="I590" s="1372"/>
      <c r="J590" s="1372"/>
      <c r="K590" s="1372"/>
      <c r="L590" s="1372"/>
      <c r="M590" s="1372"/>
      <c r="N590" s="1372"/>
      <c r="O590" s="1372"/>
      <c r="P590" s="1372"/>
      <c r="Q590" s="1372"/>
      <c r="R590" s="1372"/>
      <c r="T590" s="22"/>
      <c r="U590" t="s">
        <v>18</v>
      </c>
      <c r="AA590" s="1372" t="s">
        <v>2718</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3" t="s">
        <v>545</v>
      </c>
      <c r="O591" s="1333"/>
      <c r="T591" s="22"/>
      <c r="U591" t="s">
        <v>20</v>
      </c>
      <c r="AG591" s="1333" t="s">
        <v>545</v>
      </c>
      <c r="AH591" s="1333"/>
      <c r="AZ591" s="3"/>
      <c r="BA591" s="3"/>
      <c r="BB591" s="3"/>
      <c r="BC591" s="3"/>
    </row>
    <row r="592" spans="1:55" ht="12.95" customHeight="1">
      <c r="A592" s="22"/>
      <c r="T592" s="22"/>
      <c r="AZ592" s="3"/>
      <c r="BA592" s="3"/>
      <c r="BB592" s="3"/>
      <c r="BC592" s="3"/>
    </row>
    <row r="593" spans="1:55" ht="12.95" customHeight="1">
      <c r="A593" s="55" t="s">
        <v>455</v>
      </c>
      <c r="B593" t="s">
        <v>463</v>
      </c>
      <c r="G593" s="1359" t="str">
        <f>C560</f>
        <v>Cypress Equity Guarantor LLC</v>
      </c>
      <c r="H593" s="1359"/>
      <c r="I593" s="1359"/>
      <c r="J593" s="1359"/>
      <c r="K593" s="1359"/>
      <c r="L593" s="1359"/>
      <c r="M593" s="1359"/>
      <c r="N593" s="1359"/>
      <c r="O593" s="1359"/>
      <c r="P593" s="1359"/>
      <c r="Q593" s="1359"/>
      <c r="R593" s="1359"/>
      <c r="T593" s="55" t="s">
        <v>456</v>
      </c>
      <c r="U593" t="s">
        <v>463</v>
      </c>
      <c r="Z593" s="1359" t="str">
        <f>C561</f>
        <v>Deferred Developer Fee</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2643</v>
      </c>
      <c r="H594" s="1372"/>
      <c r="I594" s="1372"/>
      <c r="J594" s="1372"/>
      <c r="K594" s="1372"/>
      <c r="L594" s="1372"/>
      <c r="M594" s="1372"/>
      <c r="N594" s="1372"/>
      <c r="O594" s="1372"/>
      <c r="P594" s="1372"/>
      <c r="Q594" s="1372"/>
      <c r="R594" s="1372"/>
      <c r="S594"/>
      <c r="T594" s="22"/>
      <c r="U594" t="s">
        <v>85</v>
      </c>
      <c r="V594"/>
      <c r="W594"/>
      <c r="X594"/>
      <c r="Y594"/>
      <c r="Z594" s="1372" t="s">
        <v>2643</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494</v>
      </c>
      <c r="H595" s="1372"/>
      <c r="I595" s="1372"/>
      <c r="J595" s="1372"/>
      <c r="K595" s="1372"/>
      <c r="L595" s="1372"/>
      <c r="M595" s="1372"/>
      <c r="N595" s="1372"/>
      <c r="O595" s="1372"/>
      <c r="P595" s="1372"/>
      <c r="Q595" s="1372"/>
      <c r="R595" s="1372"/>
      <c r="S595"/>
      <c r="T595" s="22"/>
      <c r="U595" t="s">
        <v>580</v>
      </c>
      <c r="V595"/>
      <c r="W595"/>
      <c r="X595"/>
      <c r="Y595"/>
      <c r="Z595" s="1349" t="s">
        <v>494</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2645</v>
      </c>
      <c r="H596" s="1372"/>
      <c r="I596" s="1372"/>
      <c r="J596" s="1372"/>
      <c r="K596" s="1372"/>
      <c r="L596" s="1372"/>
      <c r="M596" s="1372"/>
      <c r="N596" s="1372"/>
      <c r="O596" s="1372"/>
      <c r="P596" s="1372"/>
      <c r="Q596" s="1372"/>
      <c r="R596" s="1372"/>
      <c r="S596"/>
      <c r="T596" s="22"/>
      <c r="U596" t="s">
        <v>17</v>
      </c>
      <c r="V596"/>
      <c r="W596"/>
      <c r="X596"/>
      <c r="Y596"/>
      <c r="Z596" s="1349" t="s">
        <v>2645</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t="s">
        <v>2646</v>
      </c>
      <c r="H597" s="1347"/>
      <c r="I597" s="1347"/>
      <c r="J597" s="1347"/>
      <c r="K597" s="1347"/>
      <c r="L597" s="1347"/>
      <c r="M597"/>
      <c r="N597"/>
      <c r="O597" s="33" t="s">
        <v>206</v>
      </c>
      <c r="P597" s="1437"/>
      <c r="Q597" s="1437"/>
      <c r="R597" s="1437"/>
      <c r="S597"/>
      <c r="T597" s="22"/>
      <c r="U597" t="s">
        <v>316</v>
      </c>
      <c r="V597"/>
      <c r="W597"/>
      <c r="X597"/>
      <c r="Y597"/>
      <c r="Z597" s="1347" t="s">
        <v>2646</v>
      </c>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2719</v>
      </c>
      <c r="I598" s="1372"/>
      <c r="J598" s="1372"/>
      <c r="K598" s="1372"/>
      <c r="L598" s="1372"/>
      <c r="M598" s="1372"/>
      <c r="N598" s="1372"/>
      <c r="O598" s="1372"/>
      <c r="P598" s="1372"/>
      <c r="Q598" s="1372"/>
      <c r="R598" s="1372"/>
      <c r="S598"/>
      <c r="T598" s="22"/>
      <c r="U598" t="s">
        <v>18</v>
      </c>
      <c r="V598"/>
      <c r="W598"/>
      <c r="X598"/>
      <c r="Y598"/>
      <c r="Z598"/>
      <c r="AA598" s="1372" t="str">
        <f>Z593</f>
        <v>Deferred Developer Fee</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3" t="s">
        <v>545</v>
      </c>
      <c r="O599" s="1333"/>
      <c r="T599" s="22"/>
      <c r="U599" t="s">
        <v>20</v>
      </c>
      <c r="AG599" s="1333" t="s">
        <v>545</v>
      </c>
      <c r="AH599" s="1333"/>
      <c r="BB599" s="3"/>
      <c r="BC599" s="3"/>
    </row>
    <row r="600" spans="1:55" ht="12.95" customHeight="1">
      <c r="A600" s="22"/>
      <c r="T600" s="22"/>
      <c r="BB600" s="3"/>
      <c r="BC600" s="3"/>
    </row>
    <row r="601" spans="1:55" ht="12.95" customHeight="1">
      <c r="A601" s="55" t="s">
        <v>461</v>
      </c>
      <c r="B601" t="s">
        <v>463</v>
      </c>
      <c r="G601" s="1359" t="str">
        <f>C562</f>
        <v>Costs Deferred to Conversion</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t="s">
        <v>2643</v>
      </c>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t="s">
        <v>494</v>
      </c>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t="s">
        <v>2645</v>
      </c>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t="s">
        <v>2646</v>
      </c>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t="s">
        <v>2105</v>
      </c>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545</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3" t="s">
        <v>669</v>
      </c>
      <c r="O615" s="1333"/>
      <c r="U615" t="s">
        <v>20</v>
      </c>
      <c r="AG615" s="1333" t="s">
        <v>669</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1" t="s">
        <v>2102</v>
      </c>
      <c r="C624" s="1701"/>
      <c r="D624" s="1701"/>
      <c r="E624" s="1701"/>
      <c r="F624" s="1701"/>
      <c r="G624" s="1701"/>
      <c r="H624" s="1701"/>
      <c r="I624" s="1701"/>
      <c r="J624" s="1701"/>
      <c r="K624" s="1701"/>
      <c r="L624" s="1701"/>
      <c r="M624" s="1442" t="s">
        <v>2103</v>
      </c>
      <c r="N624" s="1442"/>
      <c r="O624" s="1442"/>
      <c r="P624" s="1442"/>
      <c r="Q624" s="1442" t="s">
        <v>1852</v>
      </c>
      <c r="R624" s="1442"/>
      <c r="S624" s="1442"/>
      <c r="T624" s="1442" t="s">
        <v>1850</v>
      </c>
      <c r="U624" s="1442"/>
      <c r="V624" s="1442"/>
      <c r="W624" s="1702" t="s">
        <v>453</v>
      </c>
      <c r="X624" s="1702"/>
      <c r="Y624" s="1702"/>
      <c r="Z624" s="1431" t="s">
        <v>2132</v>
      </c>
      <c r="AA624" s="1431"/>
      <c r="AB624" s="1432"/>
      <c r="AC624" s="1682" t="s">
        <v>1675</v>
      </c>
      <c r="AD624" s="1683"/>
      <c r="AE624" s="1684"/>
      <c r="AF624" s="1672" t="s">
        <v>1930</v>
      </c>
      <c r="AG624" s="1431"/>
      <c r="AH624" s="1431"/>
      <c r="AI624" s="1431"/>
      <c r="AJ624" s="1432"/>
      <c r="AK624" s="1734" t="s">
        <v>1931</v>
      </c>
      <c r="AL624" s="1735"/>
      <c r="AM624" s="1735"/>
      <c r="AN624" s="1736"/>
      <c r="AO624" s="1442" t="s">
        <v>454</v>
      </c>
      <c r="AP624" s="1442"/>
      <c r="AQ624" s="1442"/>
      <c r="AR624" s="1442"/>
      <c r="AS624" s="1442"/>
      <c r="AU624" s="3"/>
      <c r="AZ624" s="3"/>
      <c r="BA624" s="3"/>
      <c r="BB624" s="3"/>
      <c r="BC624" s="3"/>
    </row>
    <row r="625" spans="2:157" ht="12.95"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5" customHeight="1">
      <c r="B627" s="51" t="s">
        <v>112</v>
      </c>
      <c r="C627" s="1693" t="s">
        <v>2711</v>
      </c>
      <c r="D627" s="1693"/>
      <c r="E627" s="1693"/>
      <c r="F627" s="1693"/>
      <c r="G627" s="1693"/>
      <c r="H627" s="1693"/>
      <c r="I627" s="1693"/>
      <c r="J627" s="1693"/>
      <c r="K627" s="1693"/>
      <c r="L627" s="1693"/>
      <c r="M627" s="1618" t="s">
        <v>2113</v>
      </c>
      <c r="N627" s="1618"/>
      <c r="O627" s="1618"/>
      <c r="P627" s="1618"/>
      <c r="Q627" s="1426">
        <f>15*12</f>
        <v>180</v>
      </c>
      <c r="R627" s="1426"/>
      <c r="S627" s="1427"/>
      <c r="T627" s="1425">
        <f>40*12</f>
        <v>480</v>
      </c>
      <c r="U627" s="1426"/>
      <c r="V627" s="1427"/>
      <c r="W627" s="1438">
        <v>6.25E-2</v>
      </c>
      <c r="X627" s="1439"/>
      <c r="Y627" s="1440"/>
      <c r="Z627" s="1478" t="s">
        <v>2131</v>
      </c>
      <c r="AA627" s="1479"/>
      <c r="AB627" s="1480"/>
      <c r="AC627" s="1446">
        <v>2</v>
      </c>
      <c r="AD627" s="1447"/>
      <c r="AE627" s="1448"/>
      <c r="AF627" s="1475">
        <v>1293336</v>
      </c>
      <c r="AG627" s="1476"/>
      <c r="AH627" s="1476"/>
      <c r="AI627" s="1476"/>
      <c r="AJ627" s="1477"/>
      <c r="AK627" s="1428">
        <v>0</v>
      </c>
      <c r="AL627" s="1429"/>
      <c r="AM627" s="1429"/>
      <c r="AN627" s="1430"/>
      <c r="AO627" s="1481">
        <v>19839147</v>
      </c>
      <c r="AP627" s="1481"/>
      <c r="AQ627" s="1481"/>
      <c r="AR627" s="1481"/>
      <c r="AS627" s="1481"/>
      <c r="AT627" s="3"/>
      <c r="AU627" s="3"/>
      <c r="AZ627" s="3"/>
      <c r="BA627" s="3"/>
      <c r="BB627" s="3"/>
      <c r="BC627" s="3"/>
      <c r="BD627" s="3"/>
    </row>
    <row r="628" spans="2:157" ht="12.95" customHeight="1">
      <c r="B628" s="52" t="s">
        <v>113</v>
      </c>
      <c r="C628" s="1693" t="s">
        <v>2671</v>
      </c>
      <c r="D628" s="1693"/>
      <c r="E628" s="1693"/>
      <c r="F628" s="1693"/>
      <c r="G628" s="1693"/>
      <c r="H628" s="1693"/>
      <c r="I628" s="1693"/>
      <c r="J628" s="1693"/>
      <c r="K628" s="1693"/>
      <c r="L628" s="1693"/>
      <c r="M628" s="1618" t="s">
        <v>2122</v>
      </c>
      <c r="N628" s="1618"/>
      <c r="O628" s="1618"/>
      <c r="P628" s="1618"/>
      <c r="Q628" s="1425">
        <f>99*12</f>
        <v>1188</v>
      </c>
      <c r="R628" s="1426"/>
      <c r="S628" s="1427"/>
      <c r="T628" s="1425"/>
      <c r="U628" s="1426"/>
      <c r="V628" s="1427"/>
      <c r="W628" s="1438">
        <v>5.3999999999999999E-2</v>
      </c>
      <c r="X628" s="1439"/>
      <c r="Y628" s="1440"/>
      <c r="Z628" s="1478" t="s">
        <v>2131</v>
      </c>
      <c r="AA628" s="1479"/>
      <c r="AB628" s="1480"/>
      <c r="AC628" s="1446">
        <v>1</v>
      </c>
      <c r="AD628" s="1447"/>
      <c r="AE628" s="1448"/>
      <c r="AF628" s="1475"/>
      <c r="AG628" s="1476"/>
      <c r="AH628" s="1476"/>
      <c r="AI628" s="1476"/>
      <c r="AJ628" s="1477"/>
      <c r="AK628" s="1428"/>
      <c r="AL628" s="1429"/>
      <c r="AM628" s="1429"/>
      <c r="AN628" s="1430"/>
      <c r="AO628" s="1466">
        <v>12560000</v>
      </c>
      <c r="AP628" s="1467"/>
      <c r="AQ628" s="1467"/>
      <c r="AR628" s="1467"/>
      <c r="AS628" s="1468"/>
      <c r="AT628" s="1148" t="str">
        <f>IF(AND(NOT(C627=""),C628="",NOT(C629="")),"!","")</f>
        <v/>
      </c>
      <c r="AU628" s="3"/>
      <c r="AZ628" s="3"/>
      <c r="BA628" s="3"/>
      <c r="BB628" s="3"/>
      <c r="BC628" s="3"/>
      <c r="BD628" s="3"/>
    </row>
    <row r="629" spans="2:157" ht="12.95" customHeight="1">
      <c r="B629" s="52" t="s">
        <v>119</v>
      </c>
      <c r="C629" s="1693" t="s">
        <v>2693</v>
      </c>
      <c r="D629" s="1693"/>
      <c r="E629" s="1693"/>
      <c r="F629" s="1693"/>
      <c r="G629" s="1693"/>
      <c r="H629" s="1693"/>
      <c r="I629" s="1693"/>
      <c r="J629" s="1693"/>
      <c r="K629" s="1693"/>
      <c r="L629" s="1693"/>
      <c r="M629" s="1618" t="s">
        <v>2121</v>
      </c>
      <c r="N629" s="1618"/>
      <c r="O629" s="1618"/>
      <c r="P629" s="1618"/>
      <c r="Q629" s="1425"/>
      <c r="R629" s="1426"/>
      <c r="S629" s="1427"/>
      <c r="T629" s="1425"/>
      <c r="U629" s="1426"/>
      <c r="V629" s="1427"/>
      <c r="W629" s="1438"/>
      <c r="X629" s="1439"/>
      <c r="Y629" s="1440"/>
      <c r="Z629" s="1478" t="s">
        <v>1183</v>
      </c>
      <c r="AA629" s="1479"/>
      <c r="AB629" s="1480"/>
      <c r="AC629" s="1446"/>
      <c r="AD629" s="1447"/>
      <c r="AE629" s="1448"/>
      <c r="AF629" s="1475"/>
      <c r="AG629" s="1476"/>
      <c r="AH629" s="1476"/>
      <c r="AI629" s="1476"/>
      <c r="AJ629" s="1477"/>
      <c r="AK629" s="1428"/>
      <c r="AL629" s="1429"/>
      <c r="AM629" s="1429"/>
      <c r="AN629" s="1430"/>
      <c r="AO629" s="1466">
        <v>301461</v>
      </c>
      <c r="AP629" s="1467"/>
      <c r="AQ629" s="1467"/>
      <c r="AR629" s="1467"/>
      <c r="AS629" s="1468"/>
      <c r="AT629" s="1148" t="str">
        <f t="shared" ref="AT629:AT638" si="1">IF(AND(NOT(C628=""),C629="",NOT(C630="")),"!","")</f>
        <v/>
      </c>
      <c r="AU629" s="3"/>
      <c r="AZ629" s="3"/>
      <c r="BA629" s="3"/>
      <c r="BB629" s="3"/>
      <c r="BC629" s="3"/>
      <c r="BD629" s="3"/>
    </row>
    <row r="630" spans="2:157" ht="12.95" customHeight="1">
      <c r="B630" s="52" t="s">
        <v>581</v>
      </c>
      <c r="C630" s="1693" t="s">
        <v>2731</v>
      </c>
      <c r="D630" s="1348"/>
      <c r="E630" s="1348"/>
      <c r="F630" s="1348"/>
      <c r="G630" s="1348"/>
      <c r="H630" s="1348"/>
      <c r="I630" s="1348"/>
      <c r="J630" s="1348"/>
      <c r="K630" s="1348"/>
      <c r="L630" s="1348"/>
      <c r="M630" s="1618" t="s">
        <v>2109</v>
      </c>
      <c r="N630" s="1618"/>
      <c r="O630" s="1618"/>
      <c r="P630" s="1618"/>
      <c r="Q630" s="1425"/>
      <c r="R630" s="1426"/>
      <c r="S630" s="1427"/>
      <c r="T630" s="1425"/>
      <c r="U630" s="1426"/>
      <c r="V630" s="1427"/>
      <c r="W630" s="1438"/>
      <c r="X630" s="1439"/>
      <c r="Y630" s="1440"/>
      <c r="Z630" s="1478" t="s">
        <v>1183</v>
      </c>
      <c r="AA630" s="1479"/>
      <c r="AB630" s="1480"/>
      <c r="AC630" s="1446">
        <v>3</v>
      </c>
      <c r="AD630" s="1447"/>
      <c r="AE630" s="1448"/>
      <c r="AF630" s="1475"/>
      <c r="AG630" s="1476"/>
      <c r="AH630" s="1476"/>
      <c r="AI630" s="1476"/>
      <c r="AJ630" s="1477"/>
      <c r="AK630" s="1428"/>
      <c r="AL630" s="1429"/>
      <c r="AM630" s="1429"/>
      <c r="AN630" s="1430"/>
      <c r="AO630" s="1466">
        <v>3078184</v>
      </c>
      <c r="AP630" s="1467"/>
      <c r="AQ630" s="1467"/>
      <c r="AR630" s="1467"/>
      <c r="AS630" s="1468"/>
      <c r="AT630" s="1148" t="str">
        <f t="shared" si="1"/>
        <v/>
      </c>
      <c r="AU630" s="3"/>
      <c r="AZ630" s="3"/>
      <c r="BA630" s="3"/>
      <c r="BB630" s="3"/>
      <c r="BC630" s="3"/>
      <c r="BD630" s="3"/>
    </row>
    <row r="631" spans="2:157" ht="12.95" customHeight="1">
      <c r="B631" s="52" t="s">
        <v>763</v>
      </c>
      <c r="C631" s="1348" t="s">
        <v>2321</v>
      </c>
      <c r="D631" s="1348"/>
      <c r="E631" s="1348"/>
      <c r="F631" s="1348"/>
      <c r="G631" s="1348"/>
      <c r="H631" s="1348"/>
      <c r="I631" s="1348"/>
      <c r="J631" s="1348"/>
      <c r="K631" s="1348"/>
      <c r="L631" s="1348"/>
      <c r="M631" s="1618" t="s">
        <v>2106</v>
      </c>
      <c r="N631" s="1618"/>
      <c r="O631" s="1618"/>
      <c r="P631" s="1618"/>
      <c r="Q631" s="1425"/>
      <c r="R631" s="1426"/>
      <c r="S631" s="1427"/>
      <c r="T631" s="1425"/>
      <c r="U631" s="1426"/>
      <c r="V631" s="1427"/>
      <c r="W631" s="1438"/>
      <c r="X631" s="1439"/>
      <c r="Y631" s="1440"/>
      <c r="Z631" s="1478" t="s">
        <v>1183</v>
      </c>
      <c r="AA631" s="1479"/>
      <c r="AB631" s="1480"/>
      <c r="AC631" s="1446"/>
      <c r="AD631" s="1447"/>
      <c r="AE631" s="1448"/>
      <c r="AF631" s="1475"/>
      <c r="AG631" s="1476"/>
      <c r="AH631" s="1476"/>
      <c r="AI631" s="1476"/>
      <c r="AJ631" s="1477"/>
      <c r="AK631" s="1428"/>
      <c r="AL631" s="1429"/>
      <c r="AM631" s="1429"/>
      <c r="AN631" s="1430"/>
      <c r="AO631" s="1466">
        <v>5432946</v>
      </c>
      <c r="AP631" s="1467"/>
      <c r="AQ631" s="1467"/>
      <c r="AR631" s="1467"/>
      <c r="AS631" s="1468"/>
      <c r="AT631" s="1148" t="str">
        <f t="shared" si="1"/>
        <v/>
      </c>
      <c r="AU631" s="3"/>
      <c r="AZ631" s="3"/>
      <c r="BA631" s="3"/>
      <c r="BB631" s="3"/>
      <c r="BC631" s="3"/>
      <c r="BD631" s="3"/>
    </row>
    <row r="632" spans="2:157" ht="12.95" customHeight="1">
      <c r="B632" s="52" t="s">
        <v>584</v>
      </c>
      <c r="C632" s="1348"/>
      <c r="D632" s="1348"/>
      <c r="E632" s="1348"/>
      <c r="F632" s="1348"/>
      <c r="G632" s="1348"/>
      <c r="H632" s="1348"/>
      <c r="I632" s="1348"/>
      <c r="J632" s="1348"/>
      <c r="K632" s="1348"/>
      <c r="L632" s="1348"/>
      <c r="M632" s="1618" t="s">
        <v>1183</v>
      </c>
      <c r="N632" s="1618"/>
      <c r="O632" s="1618"/>
      <c r="P632" s="1618"/>
      <c r="Q632" s="1425"/>
      <c r="R632" s="1426"/>
      <c r="S632" s="1427"/>
      <c r="T632" s="1425"/>
      <c r="U632" s="1426"/>
      <c r="V632" s="1427"/>
      <c r="W632" s="1438"/>
      <c r="X632" s="1439"/>
      <c r="Y632" s="1440"/>
      <c r="Z632" s="1478" t="s">
        <v>1183</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1"/>
        <v/>
      </c>
      <c r="AU632" s="3"/>
      <c r="AZ632" s="3"/>
      <c r="BA632" s="3"/>
      <c r="BB632" s="3"/>
      <c r="BC632" s="3"/>
      <c r="BD632" s="3"/>
    </row>
    <row r="633" spans="2:157" ht="12.95" customHeight="1">
      <c r="B633" s="52" t="s">
        <v>455</v>
      </c>
      <c r="C633" s="1348"/>
      <c r="D633" s="1348"/>
      <c r="E633" s="1348"/>
      <c r="F633" s="1348"/>
      <c r="G633" s="1348"/>
      <c r="H633" s="1348"/>
      <c r="I633" s="1348"/>
      <c r="J633" s="1348"/>
      <c r="K633" s="1348"/>
      <c r="L633" s="1348"/>
      <c r="M633" s="1618" t="s">
        <v>1183</v>
      </c>
      <c r="N633" s="1618"/>
      <c r="O633" s="1618"/>
      <c r="P633" s="1618"/>
      <c r="Q633" s="1425"/>
      <c r="R633" s="1426"/>
      <c r="S633" s="1427"/>
      <c r="T633" s="1425"/>
      <c r="U633" s="1426"/>
      <c r="V633" s="1427"/>
      <c r="W633" s="1438"/>
      <c r="X633" s="1439"/>
      <c r="Y633" s="1440"/>
      <c r="Z633" s="1478" t="s">
        <v>1183</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8" t="s">
        <v>1183</v>
      </c>
      <c r="N634" s="1618"/>
      <c r="O634" s="1618"/>
      <c r="P634" s="1618"/>
      <c r="Q634" s="1425"/>
      <c r="R634" s="1426"/>
      <c r="S634" s="1427"/>
      <c r="T634" s="1425"/>
      <c r="U634" s="1426"/>
      <c r="V634" s="1427"/>
      <c r="W634" s="1438"/>
      <c r="X634" s="1439"/>
      <c r="Y634" s="1440"/>
      <c r="Z634" s="1478" t="s">
        <v>1183</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1183</v>
      </c>
      <c r="BB634" s="3"/>
      <c r="BC634" s="3"/>
      <c r="BD634" s="3"/>
    </row>
    <row r="635" spans="2:157" ht="12.95" customHeight="1">
      <c r="B635" s="52" t="s">
        <v>461</v>
      </c>
      <c r="C635" s="1348"/>
      <c r="D635" s="1348"/>
      <c r="E635" s="1348"/>
      <c r="F635" s="1348"/>
      <c r="G635" s="1348"/>
      <c r="H635" s="1348"/>
      <c r="I635" s="1348"/>
      <c r="J635" s="1348"/>
      <c r="K635" s="1348"/>
      <c r="L635" s="1348"/>
      <c r="M635" s="1618" t="s">
        <v>1183</v>
      </c>
      <c r="N635" s="1618"/>
      <c r="O635" s="1618"/>
      <c r="P635" s="1618"/>
      <c r="Q635" s="1425"/>
      <c r="R635" s="1426"/>
      <c r="S635" s="1427"/>
      <c r="T635" s="1425"/>
      <c r="U635" s="1426"/>
      <c r="V635" s="1427"/>
      <c r="W635" s="1438"/>
      <c r="X635" s="1439"/>
      <c r="Y635" s="1440"/>
      <c r="Z635" s="1478" t="s">
        <v>1183</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96.444444444444443</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8"/>
      <c r="D636" s="1348"/>
      <c r="E636" s="1348"/>
      <c r="F636" s="1348"/>
      <c r="G636" s="1348"/>
      <c r="H636" s="1348"/>
      <c r="I636" s="1348"/>
      <c r="J636" s="1348"/>
      <c r="K636" s="1348"/>
      <c r="L636" s="1348"/>
      <c r="M636" s="1618" t="s">
        <v>1183</v>
      </c>
      <c r="N636" s="1618"/>
      <c r="O636" s="1618"/>
      <c r="P636" s="1618"/>
      <c r="Q636" s="1425"/>
      <c r="R636" s="1426"/>
      <c r="S636" s="1427"/>
      <c r="T636" s="1425"/>
      <c r="U636" s="1426"/>
      <c r="V636" s="1427"/>
      <c r="W636" s="1438"/>
      <c r="X636" s="1439"/>
      <c r="Y636" s="1440"/>
      <c r="Z636" s="1478" t="s">
        <v>1183</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t="e">
        <f t="shared" si="3"/>
        <v>#VALUE!</v>
      </c>
      <c r="ED636" s="1445"/>
      <c r="EE636" s="1445"/>
      <c r="EF636" s="1445"/>
      <c r="EG636" s="1445"/>
      <c r="EH636" s="1445">
        <f t="shared" si="4"/>
        <v>108.33333333333334</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1183</v>
      </c>
      <c r="N637" s="1618"/>
      <c r="O637" s="1618"/>
      <c r="P637" s="1618"/>
      <c r="Q637" s="1425"/>
      <c r="R637" s="1426"/>
      <c r="S637" s="1427"/>
      <c r="T637" s="1425"/>
      <c r="U637" s="1426"/>
      <c r="V637" s="1427"/>
      <c r="W637" s="1438"/>
      <c r="X637" s="1439"/>
      <c r="Y637" s="1440"/>
      <c r="Z637" s="1478" t="s">
        <v>1183</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t="e">
        <f t="shared" si="3"/>
        <v>#VALUE!</v>
      </c>
      <c r="ED637" s="1445"/>
      <c r="EE637" s="1445"/>
      <c r="EF637" s="1445"/>
      <c r="EG637" s="1445"/>
      <c r="EH637" s="1445" t="e">
        <f t="shared" si="4"/>
        <v>#VALUE!</v>
      </c>
      <c r="EI637" s="1445"/>
      <c r="EJ637" s="1445"/>
      <c r="EK637" s="1445"/>
      <c r="EL637" s="1445"/>
      <c r="EM637" s="1445">
        <f t="shared" si="5"/>
        <v>114.90384615384616</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1183</v>
      </c>
      <c r="N638" s="1618"/>
      <c r="O638" s="1618"/>
      <c r="P638" s="1618"/>
      <c r="Q638" s="1425"/>
      <c r="R638" s="1426"/>
      <c r="S638" s="1427"/>
      <c r="T638" s="1425"/>
      <c r="U638" s="1426"/>
      <c r="V638" s="1427"/>
      <c r="W638" s="1438"/>
      <c r="X638" s="1439"/>
      <c r="Y638" s="1440"/>
      <c r="Z638" s="1478" t="s">
        <v>1183</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349.28571428571428</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41211738</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476.39583333333331</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f>32384302-184591-712788+2861-4875</f>
        <v>31484909</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t="e">
        <f t="shared" si="4"/>
        <v>#VALUE!</v>
      </c>
      <c r="EI640" s="1445"/>
      <c r="EJ640" s="1445"/>
      <c r="EK640" s="1445"/>
      <c r="EL640" s="1445"/>
      <c r="EM640" s="1445">
        <f t="shared" si="5"/>
        <v>506.5</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72696647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f t="shared" si="3"/>
        <v>1149.952380952381</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1324.375</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9" t="str">
        <f>C627</f>
        <v>Berkadia</v>
      </c>
      <c r="H643" s="1359"/>
      <c r="I643" s="1359"/>
      <c r="J643" s="1359"/>
      <c r="K643" s="1359"/>
      <c r="L643" s="1359"/>
      <c r="M643" s="1359"/>
      <c r="N643" s="1359"/>
      <c r="O643" s="1359"/>
      <c r="P643" s="1359"/>
      <c r="Q643" s="1359"/>
      <c r="R643" s="1359"/>
      <c r="S643" s="8"/>
      <c r="T643" s="55" t="s">
        <v>113</v>
      </c>
      <c r="U643" t="s">
        <v>463</v>
      </c>
      <c r="Z643" s="1359" t="str">
        <f>C628</f>
        <v>Safehold, Inc.</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f t="shared" si="5"/>
        <v>1596.6923076923076</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2735</v>
      </c>
      <c r="H644" s="1372"/>
      <c r="I644" s="1372"/>
      <c r="J644" s="1372"/>
      <c r="K644" s="1372"/>
      <c r="L644" s="1372"/>
      <c r="M644" s="1372"/>
      <c r="N644" s="1372"/>
      <c r="O644" s="1372"/>
      <c r="P644" s="1372"/>
      <c r="Q644" s="1372"/>
      <c r="R644" s="1372"/>
      <c r="S644" s="8"/>
      <c r="T644" s="22"/>
      <c r="U644" t="s">
        <v>85</v>
      </c>
      <c r="Z644" s="1372" t="s">
        <v>2722</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2" t="s">
        <v>2736</v>
      </c>
      <c r="H645" s="1372"/>
      <c r="I645" s="1372"/>
      <c r="J645" s="1372"/>
      <c r="K645" s="1372"/>
      <c r="L645" s="1372"/>
      <c r="M645" s="1372"/>
      <c r="N645" s="1372"/>
      <c r="O645" s="1372"/>
      <c r="P645" s="1372"/>
      <c r="Q645" s="1372"/>
      <c r="R645" s="1372"/>
      <c r="T645" s="22"/>
      <c r="U645" t="s">
        <v>580</v>
      </c>
      <c r="Z645" s="1349" t="s">
        <v>2723</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2732</v>
      </c>
      <c r="H646" s="1372"/>
      <c r="I646" s="1372"/>
      <c r="J646" s="1372"/>
      <c r="K646" s="1372"/>
      <c r="L646" s="1372"/>
      <c r="M646" s="1372"/>
      <c r="N646" s="1372"/>
      <c r="O646" s="1372"/>
      <c r="P646" s="1372"/>
      <c r="Q646" s="1372"/>
      <c r="R646" s="1372"/>
      <c r="S646" s="8"/>
      <c r="T646" s="22"/>
      <c r="U646" t="s">
        <v>17</v>
      </c>
      <c r="Z646" s="1349" t="s">
        <v>2724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7" t="s">
        <v>2733</v>
      </c>
      <c r="H647" s="1347"/>
      <c r="I647" s="1347"/>
      <c r="J647" s="1347"/>
      <c r="K647" s="1347"/>
      <c r="L647" s="1347"/>
      <c r="O647" s="33" t="s">
        <v>206</v>
      </c>
      <c r="P647" s="1437"/>
      <c r="Q647" s="1437"/>
      <c r="R647" s="1437"/>
      <c r="S647" s="10"/>
      <c r="T647" s="22"/>
      <c r="U647" t="s">
        <v>316</v>
      </c>
      <c r="Z647" s="1692" t="s">
        <v>2725</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2740</v>
      </c>
      <c r="I648" s="1372"/>
      <c r="J648" s="1372"/>
      <c r="K648" s="1372"/>
      <c r="L648" s="1372"/>
      <c r="M648" s="1372"/>
      <c r="N648" s="1372"/>
      <c r="O648" s="1372"/>
      <c r="P648" s="1372"/>
      <c r="Q648" s="1372"/>
      <c r="R648" s="1372"/>
      <c r="S648" s="8"/>
      <c r="T648" s="22"/>
      <c r="U648" t="s">
        <v>18</v>
      </c>
      <c r="AA648" s="1372" t="s">
        <v>2726</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463</v>
      </c>
      <c r="G651" s="1359" t="str">
        <f>C629</f>
        <v>Lease Up Income During Construction</v>
      </c>
      <c r="H651" s="1359"/>
      <c r="I651" s="1359"/>
      <c r="J651" s="1359"/>
      <c r="K651" s="1359"/>
      <c r="L651" s="1359"/>
      <c r="M651" s="1359"/>
      <c r="N651" s="1359"/>
      <c r="O651" s="1359"/>
      <c r="P651" s="1359"/>
      <c r="Q651" s="1359"/>
      <c r="R651" s="1359"/>
      <c r="T651" s="55" t="s">
        <v>581</v>
      </c>
      <c r="U651" t="s">
        <v>463</v>
      </c>
      <c r="Z651" s="1359" t="str">
        <f>C630</f>
        <v>Cypress Equity Guarantor LLC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2643</v>
      </c>
      <c r="H652" s="1372"/>
      <c r="I652" s="1372"/>
      <c r="J652" s="1372"/>
      <c r="K652" s="1372"/>
      <c r="L652" s="1372"/>
      <c r="M652" s="1372"/>
      <c r="N652" s="1372"/>
      <c r="O652" s="1372"/>
      <c r="P652" s="1372"/>
      <c r="Q652" s="1372"/>
      <c r="R652" s="1372"/>
      <c r="T652" s="22"/>
      <c r="U652" t="s">
        <v>85</v>
      </c>
      <c r="Z652" s="1372" t="s">
        <v>2643</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580</v>
      </c>
      <c r="G653" s="1349" t="s">
        <v>494</v>
      </c>
      <c r="H653" s="1349"/>
      <c r="I653" s="1349"/>
      <c r="J653" s="1349"/>
      <c r="K653" s="1349"/>
      <c r="L653" s="1349"/>
      <c r="M653" s="1349"/>
      <c r="N653" s="1349"/>
      <c r="O653" s="1349"/>
      <c r="P653" s="1349"/>
      <c r="Q653" s="1349"/>
      <c r="R653" s="1349"/>
      <c r="T653" s="22"/>
      <c r="U653" t="s">
        <v>580</v>
      </c>
      <c r="Z653" s="1349" t="s">
        <v>494</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2645</v>
      </c>
      <c r="H654" s="1349"/>
      <c r="I654" s="1349"/>
      <c r="J654" s="1349"/>
      <c r="K654" s="1349"/>
      <c r="L654" s="1349"/>
      <c r="M654" s="1349"/>
      <c r="N654" s="1349"/>
      <c r="O654" s="1349"/>
      <c r="P654" s="1349"/>
      <c r="Q654" s="1349"/>
      <c r="R654" s="1349"/>
      <c r="T654" s="22"/>
      <c r="U654" t="s">
        <v>17</v>
      </c>
      <c r="Z654" s="1349" t="s">
        <v>2645</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7" t="s">
        <v>2646</v>
      </c>
      <c r="H655" s="1347"/>
      <c r="I655" s="1347"/>
      <c r="J655" s="1347"/>
      <c r="K655" s="1347"/>
      <c r="L655" s="1347"/>
      <c r="O655" s="33" t="s">
        <v>206</v>
      </c>
      <c r="P655" s="1437"/>
      <c r="Q655" s="1437"/>
      <c r="R655" s="1437"/>
      <c r="T655" s="22"/>
      <c r="U655" t="s">
        <v>316</v>
      </c>
      <c r="Z655" s="1347" t="s">
        <v>2646</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2719</v>
      </c>
      <c r="I656" s="1372"/>
      <c r="J656" s="1372"/>
      <c r="K656" s="1372"/>
      <c r="L656" s="1372"/>
      <c r="M656" s="1372"/>
      <c r="N656" s="1372"/>
      <c r="O656" s="1372"/>
      <c r="P656" s="1372"/>
      <c r="Q656" s="1372"/>
      <c r="R656" s="1372"/>
      <c r="T656" s="22"/>
      <c r="U656" t="s">
        <v>18</v>
      </c>
      <c r="AA656" s="1372" t="s">
        <v>2719</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9" t="str">
        <f>C631</f>
        <v>Deferred Developer Fee</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2643</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2" t="s">
        <v>494</v>
      </c>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2645</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7" t="s">
        <v>2646</v>
      </c>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t="s">
        <v>2719</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3" t="s">
        <v>545</v>
      </c>
      <c r="O665" s="1333"/>
      <c r="T665" s="22"/>
      <c r="U665" t="s">
        <v>20</v>
      </c>
      <c r="AG665" s="1333" t="s">
        <v>669</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1595.6825396825398</v>
      </c>
      <c r="ED670" s="1445"/>
      <c r="EE670" s="1445"/>
      <c r="EF670" s="1445"/>
      <c r="EG670" s="1445"/>
      <c r="EH670" s="1445">
        <f>SUMIF(EH635:EL669,"&gt;0")</f>
        <v>1909.1041666666665</v>
      </c>
      <c r="EI670" s="1445"/>
      <c r="EJ670" s="1445"/>
      <c r="EK670" s="1445"/>
      <c r="EL670" s="1445"/>
      <c r="EM670" s="1445">
        <f>SUMIF(EM635:EQ669,"&gt;0")</f>
        <v>2218.0961538461538</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669</v>
      </c>
      <c r="O673" s="1333"/>
      <c r="T673" s="22"/>
      <c r="U673" t="s">
        <v>20</v>
      </c>
      <c r="AG673" s="1333" t="s">
        <v>669</v>
      </c>
      <c r="AH673" s="1333"/>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3" t="s">
        <v>669</v>
      </c>
      <c r="O681" s="1333"/>
      <c r="T681" s="22"/>
      <c r="U681" t="s">
        <v>20</v>
      </c>
      <c r="AG681" s="1333" t="s">
        <v>669</v>
      </c>
      <c r="AH681" s="1333"/>
      <c r="AZ681" s="3"/>
    </row>
    <row r="682" spans="1:52" ht="12.95" customHeight="1">
      <c r="A682" s="22"/>
      <c r="T682" s="22"/>
      <c r="AZ682" s="3"/>
    </row>
    <row r="683" spans="1:52" ht="12.95"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3" t="s">
        <v>669</v>
      </c>
      <c r="O689" s="1333"/>
      <c r="U689" t="s">
        <v>20</v>
      </c>
      <c r="AG689" s="1333" t="s">
        <v>669</v>
      </c>
      <c r="AH689" s="1333"/>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3" t="s">
        <v>545</v>
      </c>
      <c r="AF693" s="1333"/>
      <c r="AZ693" s="3"/>
    </row>
    <row r="694" spans="1:67" ht="12.95" customHeight="1">
      <c r="B694" s="135"/>
      <c r="C694" s="135"/>
      <c r="D694" s="136" t="s">
        <v>438</v>
      </c>
      <c r="E694" s="135"/>
      <c r="F694" s="135"/>
      <c r="G694" s="135"/>
      <c r="H694" s="135"/>
      <c r="AE694" s="1333" t="s">
        <v>669</v>
      </c>
      <c r="AF694" s="1333"/>
      <c r="AZ694" s="3"/>
    </row>
    <row r="695" spans="1:67" ht="12.95" customHeight="1">
      <c r="B695" s="135"/>
      <c r="C695" s="135"/>
      <c r="D695" s="136" t="s">
        <v>920</v>
      </c>
      <c r="E695" s="135"/>
      <c r="F695" s="135"/>
      <c r="G695" s="135"/>
      <c r="H695" s="135"/>
      <c r="AE695" s="1691">
        <v>45797</v>
      </c>
      <c r="AF695" s="1691"/>
      <c r="AG695" s="1691"/>
      <c r="AH695" s="1691"/>
      <c r="AI695" s="1691"/>
    </row>
    <row r="696" spans="1:67" ht="12.95" customHeight="1">
      <c r="B696" s="135"/>
      <c r="C696" s="135"/>
      <c r="D696" s="317" t="s">
        <v>982</v>
      </c>
      <c r="E696" s="135"/>
      <c r="F696" s="135"/>
      <c r="G696" s="135"/>
      <c r="H696" s="135"/>
      <c r="AE696" s="1703">
        <v>45874</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1">
        <v>46023</v>
      </c>
      <c r="AF698" s="1691"/>
      <c r="AG698" s="1691"/>
      <c r="AH698" s="1691"/>
      <c r="AI698" s="1691"/>
    </row>
    <row r="699" spans="1:67" ht="12.95" customHeight="1">
      <c r="B699" s="135"/>
      <c r="C699" s="135"/>
      <c r="D699" s="136" t="s">
        <v>436</v>
      </c>
      <c r="E699" s="135"/>
      <c r="F699" s="135"/>
      <c r="G699" s="135"/>
      <c r="H699" s="135"/>
      <c r="AE699" s="1403">
        <f>AM554/'Sources and Uses Budget'!S107</f>
        <v>0.53084716838832269</v>
      </c>
      <c r="AF699" s="1661"/>
      <c r="AG699" s="1661"/>
      <c r="AH699" s="1661"/>
      <c r="AI699" s="1661"/>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3" t="s">
        <v>669</v>
      </c>
      <c r="AF702" s="1333"/>
      <c r="AZ702" s="4" t="s">
        <v>324</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1678</v>
      </c>
      <c r="L714" s="1721"/>
      <c r="M714" s="1721"/>
      <c r="N714" s="1722"/>
      <c r="O714" s="1363" t="s">
        <v>447</v>
      </c>
      <c r="P714" s="1364"/>
      <c r="Q714" s="1364"/>
      <c r="R714" s="1364"/>
      <c r="S714" s="1365"/>
      <c r="T714" s="1659" t="s">
        <v>1949</v>
      </c>
      <c r="U714" s="1364"/>
      <c r="V714" s="1364"/>
      <c r="W714" s="1365"/>
      <c r="X714" s="1659" t="s">
        <v>1951</v>
      </c>
      <c r="Y714" s="1364"/>
      <c r="Z714" s="1364"/>
      <c r="AA714" s="1364"/>
      <c r="AB714" s="1365"/>
      <c r="AC714" s="1659" t="s">
        <v>1950</v>
      </c>
      <c r="AD714" s="1364"/>
      <c r="AE714" s="1364"/>
      <c r="AF714" s="1364"/>
      <c r="AG714" s="1365"/>
      <c r="AH714" s="1659" t="s">
        <v>1952</v>
      </c>
      <c r="AI714" s="1364"/>
      <c r="AJ714" s="1365"/>
      <c r="AK714" s="1659"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8" t="s">
        <v>325</v>
      </c>
      <c r="C718" s="1339"/>
      <c r="D718" s="1339"/>
      <c r="E718" s="1339"/>
      <c r="F718" s="1340"/>
      <c r="G718" s="1350">
        <v>7</v>
      </c>
      <c r="H718" s="1351"/>
      <c r="I718" s="1351"/>
      <c r="J718" s="1352"/>
      <c r="K718" s="1344">
        <v>559</v>
      </c>
      <c r="L718" s="1345"/>
      <c r="M718" s="1345"/>
      <c r="N718" s="1346"/>
      <c r="O718" s="1341">
        <f>899-T718</f>
        <v>868</v>
      </c>
      <c r="P718" s="1342"/>
      <c r="Q718" s="1342"/>
      <c r="R718" s="1342"/>
      <c r="S718" s="1343"/>
      <c r="T718" s="1341">
        <v>31</v>
      </c>
      <c r="U718" s="1342"/>
      <c r="V718" s="1342"/>
      <c r="W718" s="1343"/>
      <c r="X718" s="1353">
        <f t="shared" ref="X718:X741" si="8">O718+T718</f>
        <v>899</v>
      </c>
      <c r="Y718" s="1354"/>
      <c r="Z718" s="1354"/>
      <c r="AA718" s="1354"/>
      <c r="AB718" s="1355"/>
      <c r="AC718" s="1360">
        <v>0.3</v>
      </c>
      <c r="AD718" s="1361"/>
      <c r="AE718" s="1361"/>
      <c r="AF718" s="1361"/>
      <c r="AG718" s="1362"/>
      <c r="AH718" s="1356">
        <f>IF($AC718&gt;0,($X718/$AZ718), "")</f>
        <v>0.3000667556742323</v>
      </c>
      <c r="AI718" s="1357"/>
      <c r="AJ718" s="1358"/>
      <c r="AK718" s="1338" t="s">
        <v>591</v>
      </c>
      <c r="AL718" s="1339"/>
      <c r="AM718" s="1339"/>
      <c r="AN718" s="1339"/>
      <c r="AO718" s="1340"/>
      <c r="AP718" s="3"/>
      <c r="AQ718" s="3"/>
      <c r="AR718" s="3"/>
      <c r="AS718" s="3"/>
      <c r="AZ718" s="118">
        <f t="shared" ref="AZ718:AZ752" si="9">IF($G718=0,"N/A",VLOOKUP($T$189,TC_Rent,(MATCH($B718,bedrooms,FALSE)),FALSE))</f>
        <v>2996</v>
      </c>
      <c r="BA718" s="3"/>
      <c r="BB718" s="3"/>
      <c r="BC718" s="3"/>
      <c r="BD718" s="3"/>
      <c r="BE718" s="204"/>
      <c r="BF718" s="293">
        <f t="shared" ref="BF718:BF752" si="10">G718</f>
        <v>7</v>
      </c>
      <c r="BG718" s="297">
        <f t="shared" ref="BG718:BG752" si="11">IF($BF$753=0,0,BF718/$BF$753)</f>
        <v>4.2944785276073622E-2</v>
      </c>
      <c r="BH718" s="298">
        <f t="shared" ref="BH718:BH752" si="12">IF(BG718=0,"",BG718*AC718)</f>
        <v>1.2883435582822086E-2</v>
      </c>
      <c r="BI718" s="3"/>
      <c r="BJ718" s="3"/>
      <c r="BK718" s="3"/>
      <c r="BL718" s="3"/>
      <c r="BM718" s="3"/>
      <c r="BN718" s="3"/>
      <c r="BS718" s="293">
        <f t="shared" ref="BS718:BS752" si="13">G718</f>
        <v>7</v>
      </c>
      <c r="BT718" s="297">
        <f t="shared" ref="BT718:BT752" si="14">IF($BS$753=0,0,BS718/$BS$753)</f>
        <v>4.2944785276073622E-2</v>
      </c>
      <c r="BU718" s="298">
        <f t="shared" ref="BU718:BU752" si="15">IF(BT718=0,"",BT718*AH718)</f>
        <v>1.2886302390917951E-2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7</v>
      </c>
      <c r="CN718" s="1470"/>
      <c r="CO718" s="3"/>
      <c r="CP718" s="1458">
        <f t="shared" ref="CP718:CP752" si="18">IF(B718="SRO/Studio",G718,0)</f>
        <v>0</v>
      </c>
      <c r="CQ718" s="1459"/>
      <c r="CR718" s="1459"/>
      <c r="CS718" s="1459"/>
      <c r="CT718" s="1460"/>
      <c r="CU718" s="1443">
        <f t="shared" ref="CU718:CU752" si="19">IF(B718="1 Bedroom",G718,0)</f>
        <v>7</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7</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868</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8" t="s">
        <v>163</v>
      </c>
      <c r="C719" s="1339"/>
      <c r="D719" s="1339"/>
      <c r="E719" s="1339"/>
      <c r="F719" s="1340"/>
      <c r="G719" s="1350">
        <v>5</v>
      </c>
      <c r="H719" s="1351"/>
      <c r="I719" s="1351"/>
      <c r="J719" s="1352"/>
      <c r="K719" s="1344">
        <v>771</v>
      </c>
      <c r="L719" s="1345"/>
      <c r="M719" s="1345"/>
      <c r="N719" s="1346"/>
      <c r="O719" s="1341">
        <f>1079-T719</f>
        <v>1040</v>
      </c>
      <c r="P719" s="1342"/>
      <c r="Q719" s="1342"/>
      <c r="R719" s="1342"/>
      <c r="S719" s="1343"/>
      <c r="T719" s="1341">
        <v>39</v>
      </c>
      <c r="U719" s="1342"/>
      <c r="V719" s="1342"/>
      <c r="W719" s="1343"/>
      <c r="X719" s="1353">
        <f t="shared" si="8"/>
        <v>1079</v>
      </c>
      <c r="Y719" s="1354"/>
      <c r="Z719" s="1354"/>
      <c r="AA719" s="1354"/>
      <c r="AB719" s="1355"/>
      <c r="AC719" s="1360">
        <v>0.3</v>
      </c>
      <c r="AD719" s="1361"/>
      <c r="AE719" s="1361"/>
      <c r="AF719" s="1361"/>
      <c r="AG719" s="1362"/>
      <c r="AH719" s="1356">
        <f t="shared" ref="AH719:AH752" si="36">IF($AC719&gt;0,($X719/$AZ719), "")</f>
        <v>0.30005561735261399</v>
      </c>
      <c r="AI719" s="1357"/>
      <c r="AJ719" s="1358"/>
      <c r="AK719" s="1338" t="s">
        <v>591</v>
      </c>
      <c r="AL719" s="1339"/>
      <c r="AM719" s="1339"/>
      <c r="AN719" s="1339"/>
      <c r="AO719" s="1340"/>
      <c r="AP719" s="3"/>
      <c r="AQ719" s="3"/>
      <c r="AR719" s="3"/>
      <c r="AS719" s="3"/>
      <c r="AZ719" s="118">
        <f t="shared" si="9"/>
        <v>3596</v>
      </c>
      <c r="BA719" s="3"/>
      <c r="BB719" s="3"/>
      <c r="BC719" s="3"/>
      <c r="BD719" s="3"/>
      <c r="BE719" s="204"/>
      <c r="BF719" s="294">
        <f t="shared" si="10"/>
        <v>5</v>
      </c>
      <c r="BG719" s="297">
        <f t="shared" si="11"/>
        <v>3.0674846625766871E-2</v>
      </c>
      <c r="BH719" s="298">
        <f t="shared" si="12"/>
        <v>9.2024539877300603E-3</v>
      </c>
      <c r="BI719" s="3"/>
      <c r="BJ719" s="3"/>
      <c r="BK719" s="3"/>
      <c r="BL719" s="3"/>
      <c r="BM719" s="3"/>
      <c r="BN719" s="3"/>
      <c r="BS719" s="294">
        <f t="shared" si="13"/>
        <v>5</v>
      </c>
      <c r="BT719" s="297">
        <f t="shared" si="14"/>
        <v>3.0674846625766871E-2</v>
      </c>
      <c r="BU719" s="298">
        <f t="shared" si="15"/>
        <v>9.2041600414912265E-3</v>
      </c>
      <c r="CC719" s="3"/>
      <c r="CD719" s="3"/>
      <c r="CE719" s="3"/>
      <c r="CF719" s="3"/>
      <c r="CG719" s="1463">
        <f t="shared" ref="CG719:CG752" si="37">IF(AND(AC719&lt;=0.5,AC719&gt;=0.36),1,0)</f>
        <v>0</v>
      </c>
      <c r="CH719" s="1464"/>
      <c r="CI719" s="1469">
        <f t="shared" ref="CI719:CI752" si="38">IF(CG719=1,G719,0)</f>
        <v>0</v>
      </c>
      <c r="CJ719" s="1470"/>
      <c r="CK719" s="1463">
        <f t="shared" si="16"/>
        <v>1</v>
      </c>
      <c r="CL719" s="1464"/>
      <c r="CM719" s="1469">
        <f t="shared" si="17"/>
        <v>5</v>
      </c>
      <c r="CN719" s="1470"/>
      <c r="CO719" s="3"/>
      <c r="CP719" s="1458">
        <f t="shared" si="18"/>
        <v>0</v>
      </c>
      <c r="CQ719" s="1459"/>
      <c r="CR719" s="1459"/>
      <c r="CS719" s="1459"/>
      <c r="CT719" s="1460"/>
      <c r="CU719" s="1443">
        <f t="shared" si="19"/>
        <v>0</v>
      </c>
      <c r="CV719" s="1443"/>
      <c r="CW719" s="1443"/>
      <c r="CX719" s="1443"/>
      <c r="CY719" s="1443"/>
      <c r="CZ719" s="1443">
        <f t="shared" si="20"/>
        <v>5</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5</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t="str">
        <f t="shared" si="31"/>
        <v/>
      </c>
      <c r="FF719" s="1465"/>
      <c r="FG719" s="1465"/>
      <c r="FH719" s="1465"/>
      <c r="FI719" s="1464"/>
      <c r="FJ719" s="1463">
        <f t="shared" si="32"/>
        <v>1040</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8" t="s">
        <v>164</v>
      </c>
      <c r="C720" s="1339"/>
      <c r="D720" s="1339"/>
      <c r="E720" s="1339"/>
      <c r="F720" s="1340"/>
      <c r="G720" s="1350">
        <v>5</v>
      </c>
      <c r="H720" s="1351"/>
      <c r="I720" s="1351"/>
      <c r="J720" s="1352"/>
      <c r="K720" s="1344">
        <v>1026</v>
      </c>
      <c r="L720" s="1345"/>
      <c r="M720" s="1345"/>
      <c r="N720" s="1346"/>
      <c r="O720" s="1341">
        <f>1246-T720</f>
        <v>1195</v>
      </c>
      <c r="P720" s="1342"/>
      <c r="Q720" s="1342"/>
      <c r="R720" s="1342"/>
      <c r="S720" s="1343"/>
      <c r="T720" s="1341">
        <v>51</v>
      </c>
      <c r="U720" s="1342"/>
      <c r="V720" s="1342"/>
      <c r="W720" s="1343"/>
      <c r="X720" s="1353">
        <f t="shared" si="8"/>
        <v>1246</v>
      </c>
      <c r="Y720" s="1354"/>
      <c r="Z720" s="1354"/>
      <c r="AA720" s="1354"/>
      <c r="AB720" s="1355"/>
      <c r="AC720" s="1360">
        <v>0.3</v>
      </c>
      <c r="AD720" s="1361"/>
      <c r="AE720" s="1361"/>
      <c r="AF720" s="1361"/>
      <c r="AG720" s="1362"/>
      <c r="AH720" s="1356">
        <f t="shared" si="36"/>
        <v>0.29995185363505056</v>
      </c>
      <c r="AI720" s="1357"/>
      <c r="AJ720" s="1358"/>
      <c r="AK720" s="1338" t="s">
        <v>591</v>
      </c>
      <c r="AL720" s="1339"/>
      <c r="AM720" s="1339"/>
      <c r="AN720" s="1339"/>
      <c r="AO720" s="1340"/>
      <c r="AP720" s="3"/>
      <c r="AQ720" s="3"/>
      <c r="AR720" s="3"/>
      <c r="AS720" s="3"/>
      <c r="AZ720" s="118">
        <f t="shared" si="9"/>
        <v>4154</v>
      </c>
      <c r="BA720" s="3"/>
      <c r="BB720" s="3"/>
      <c r="BC720" s="3"/>
      <c r="BD720" s="3"/>
      <c r="BE720" s="204"/>
      <c r="BF720" s="294">
        <f t="shared" si="10"/>
        <v>5</v>
      </c>
      <c r="BG720" s="297">
        <f t="shared" si="11"/>
        <v>3.0674846625766871E-2</v>
      </c>
      <c r="BH720" s="298">
        <f t="shared" si="12"/>
        <v>9.2024539877300603E-3</v>
      </c>
      <c r="BI720" s="3"/>
      <c r="BJ720" s="3"/>
      <c r="BK720" s="3"/>
      <c r="BL720" s="3"/>
      <c r="BM720" s="3"/>
      <c r="BN720" s="3"/>
      <c r="BS720" s="294">
        <f t="shared" si="13"/>
        <v>5</v>
      </c>
      <c r="BT720" s="297">
        <f t="shared" si="14"/>
        <v>3.0674846625766871E-2</v>
      </c>
      <c r="BU720" s="298">
        <f t="shared" si="15"/>
        <v>9.2009771053696496E-3</v>
      </c>
      <c r="CC720" s="3"/>
      <c r="CD720" s="3"/>
      <c r="CE720" s="3"/>
      <c r="CF720" s="3"/>
      <c r="CG720" s="1463">
        <f t="shared" si="37"/>
        <v>0</v>
      </c>
      <c r="CH720" s="1464"/>
      <c r="CI720" s="1469">
        <f t="shared" si="38"/>
        <v>0</v>
      </c>
      <c r="CJ720" s="1470"/>
      <c r="CK720" s="1463">
        <f t="shared" si="16"/>
        <v>1</v>
      </c>
      <c r="CL720" s="1464"/>
      <c r="CM720" s="1469">
        <f t="shared" si="17"/>
        <v>5</v>
      </c>
      <c r="CN720" s="1470"/>
      <c r="CO720" s="3"/>
      <c r="CP720" s="1458">
        <f t="shared" si="18"/>
        <v>0</v>
      </c>
      <c r="CQ720" s="1459"/>
      <c r="CR720" s="1459"/>
      <c r="CS720" s="1459"/>
      <c r="CT720" s="1460"/>
      <c r="CU720" s="1443">
        <f t="shared" si="19"/>
        <v>0</v>
      </c>
      <c r="CV720" s="1443"/>
      <c r="CW720" s="1443"/>
      <c r="CX720" s="1443"/>
      <c r="CY720" s="1443"/>
      <c r="CZ720" s="1443">
        <f t="shared" si="20"/>
        <v>0</v>
      </c>
      <c r="DA720" s="1443"/>
      <c r="DB720" s="1443"/>
      <c r="DC720" s="1443"/>
      <c r="DD720" s="1443"/>
      <c r="DE720" s="1443">
        <f t="shared" si="21"/>
        <v>5</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5</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t="str">
        <f t="shared" si="31"/>
        <v/>
      </c>
      <c r="FF720" s="1465"/>
      <c r="FG720" s="1465"/>
      <c r="FH720" s="1465"/>
      <c r="FI720" s="1464"/>
      <c r="FJ720" s="1463" t="str">
        <f t="shared" si="32"/>
        <v/>
      </c>
      <c r="FK720" s="1465"/>
      <c r="FL720" s="1465"/>
      <c r="FM720" s="1465"/>
      <c r="FN720" s="1464"/>
      <c r="FO720" s="1463">
        <f t="shared" si="33"/>
        <v>1195</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8" t="s">
        <v>325</v>
      </c>
      <c r="C721" s="1339"/>
      <c r="D721" s="1339"/>
      <c r="E721" s="1339"/>
      <c r="F721" s="1340"/>
      <c r="G721" s="1350">
        <v>15</v>
      </c>
      <c r="H721" s="1351"/>
      <c r="I721" s="1351"/>
      <c r="J721" s="1352"/>
      <c r="K721" s="1344">
        <v>559</v>
      </c>
      <c r="L721" s="1345"/>
      <c r="M721" s="1345"/>
      <c r="N721" s="1346"/>
      <c r="O721" s="1341">
        <f>1498-T721</f>
        <v>1467</v>
      </c>
      <c r="P721" s="1342"/>
      <c r="Q721" s="1342"/>
      <c r="R721" s="1342"/>
      <c r="S721" s="1343"/>
      <c r="T721" s="1341">
        <v>31</v>
      </c>
      <c r="U721" s="1342"/>
      <c r="V721" s="1342"/>
      <c r="W721" s="1343"/>
      <c r="X721" s="1353">
        <f t="shared" si="8"/>
        <v>1498</v>
      </c>
      <c r="Y721" s="1354"/>
      <c r="Z721" s="1354"/>
      <c r="AA721" s="1354"/>
      <c r="AB721" s="1355"/>
      <c r="AC721" s="1360">
        <v>0.5</v>
      </c>
      <c r="AD721" s="1361"/>
      <c r="AE721" s="1361"/>
      <c r="AF721" s="1361"/>
      <c r="AG721" s="1362"/>
      <c r="AH721" s="1356">
        <f t="shared" si="36"/>
        <v>0.5</v>
      </c>
      <c r="AI721" s="1357"/>
      <c r="AJ721" s="1358"/>
      <c r="AK721" s="1338" t="s">
        <v>591</v>
      </c>
      <c r="AL721" s="1339"/>
      <c r="AM721" s="1339"/>
      <c r="AN721" s="1339"/>
      <c r="AO721" s="1340"/>
      <c r="AP721" s="3"/>
      <c r="AQ721" s="3"/>
      <c r="AR721" s="3"/>
      <c r="AS721" s="3"/>
      <c r="AY721" s="116"/>
      <c r="AZ721" s="118">
        <f t="shared" si="9"/>
        <v>2996</v>
      </c>
      <c r="BA721" s="3"/>
      <c r="BB721" s="3"/>
      <c r="BC721" s="3"/>
      <c r="BD721" s="3"/>
      <c r="BE721" s="204"/>
      <c r="BF721" s="294">
        <f t="shared" si="10"/>
        <v>15</v>
      </c>
      <c r="BG721" s="297">
        <f t="shared" si="11"/>
        <v>9.202453987730061E-2</v>
      </c>
      <c r="BH721" s="298">
        <f t="shared" si="12"/>
        <v>4.6012269938650305E-2</v>
      </c>
      <c r="BI721" s="3"/>
      <c r="BJ721" s="3"/>
      <c r="BK721" s="3"/>
      <c r="BL721" s="3"/>
      <c r="BM721" s="3"/>
      <c r="BN721" s="3"/>
      <c r="BS721" s="294">
        <f t="shared" si="13"/>
        <v>15</v>
      </c>
      <c r="BT721" s="297">
        <f t="shared" si="14"/>
        <v>9.202453987730061E-2</v>
      </c>
      <c r="BU721" s="298">
        <f t="shared" si="15"/>
        <v>4.6012269938650305E-2</v>
      </c>
      <c r="CC721" s="3"/>
      <c r="CD721" s="3"/>
      <c r="CE721" s="3"/>
      <c r="CF721" s="3"/>
      <c r="CG721" s="1463">
        <f t="shared" si="37"/>
        <v>1</v>
      </c>
      <c r="CH721" s="1464"/>
      <c r="CI721" s="1469">
        <f t="shared" si="38"/>
        <v>15</v>
      </c>
      <c r="CJ721" s="1470"/>
      <c r="CK721" s="1463">
        <f t="shared" si="16"/>
        <v>0</v>
      </c>
      <c r="CL721" s="1464"/>
      <c r="CM721" s="1469">
        <f t="shared" si="17"/>
        <v>0</v>
      </c>
      <c r="CN721" s="1470"/>
      <c r="CO721" s="3"/>
      <c r="CP721" s="1458">
        <f t="shared" si="18"/>
        <v>0</v>
      </c>
      <c r="CQ721" s="1459"/>
      <c r="CR721" s="1459"/>
      <c r="CS721" s="1459"/>
      <c r="CT721" s="1460"/>
      <c r="CU721" s="1443">
        <f t="shared" si="19"/>
        <v>15</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1467</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8" t="s">
        <v>163</v>
      </c>
      <c r="C722" s="1339"/>
      <c r="D722" s="1339"/>
      <c r="E722" s="1339"/>
      <c r="F722" s="1340"/>
      <c r="G722" s="1350">
        <v>13</v>
      </c>
      <c r="H722" s="1351"/>
      <c r="I722" s="1351"/>
      <c r="J722" s="1352"/>
      <c r="K722" s="1344">
        <v>771</v>
      </c>
      <c r="L722" s="1345"/>
      <c r="M722" s="1345"/>
      <c r="N722" s="1346"/>
      <c r="O722" s="1341">
        <f>1798-T722</f>
        <v>1759</v>
      </c>
      <c r="P722" s="1342"/>
      <c r="Q722" s="1342"/>
      <c r="R722" s="1342"/>
      <c r="S722" s="1343"/>
      <c r="T722" s="1341">
        <v>39</v>
      </c>
      <c r="U722" s="1342"/>
      <c r="V722" s="1342"/>
      <c r="W722" s="1343"/>
      <c r="X722" s="1353">
        <f t="shared" si="8"/>
        <v>1798</v>
      </c>
      <c r="Y722" s="1354"/>
      <c r="Z722" s="1354"/>
      <c r="AA722" s="1354"/>
      <c r="AB722" s="1355"/>
      <c r="AC722" s="1360">
        <v>0.5</v>
      </c>
      <c r="AD722" s="1361"/>
      <c r="AE722" s="1361"/>
      <c r="AF722" s="1361"/>
      <c r="AG722" s="1362"/>
      <c r="AH722" s="1356">
        <f t="shared" si="36"/>
        <v>0.5</v>
      </c>
      <c r="AI722" s="1357"/>
      <c r="AJ722" s="1358"/>
      <c r="AK722" s="1338" t="s">
        <v>591</v>
      </c>
      <c r="AL722" s="1339"/>
      <c r="AM722" s="1339"/>
      <c r="AN722" s="1339"/>
      <c r="AO722" s="1340"/>
      <c r="AP722" s="3"/>
      <c r="AQ722" s="3"/>
      <c r="AR722" s="3"/>
      <c r="AS722" s="3"/>
      <c r="AY722" s="116"/>
      <c r="AZ722" s="118">
        <f t="shared" si="9"/>
        <v>3596</v>
      </c>
      <c r="BA722" s="3"/>
      <c r="BB722" s="3"/>
      <c r="BC722" s="3"/>
      <c r="BD722" s="3"/>
      <c r="BE722" s="204"/>
      <c r="BF722" s="294">
        <f t="shared" si="10"/>
        <v>13</v>
      </c>
      <c r="BG722" s="297">
        <f t="shared" si="11"/>
        <v>7.9754601226993863E-2</v>
      </c>
      <c r="BH722" s="298">
        <f t="shared" si="12"/>
        <v>3.9877300613496931E-2</v>
      </c>
      <c r="BI722" s="3"/>
      <c r="BJ722" s="3"/>
      <c r="BK722" s="3"/>
      <c r="BL722" s="3"/>
      <c r="BM722" s="3"/>
      <c r="BN722" s="3"/>
      <c r="BS722" s="294">
        <f t="shared" si="13"/>
        <v>13</v>
      </c>
      <c r="BT722" s="297">
        <f t="shared" si="14"/>
        <v>7.9754601226993863E-2</v>
      </c>
      <c r="BU722" s="298">
        <f t="shared" si="15"/>
        <v>3.9877300613496931E-2</v>
      </c>
      <c r="CC722" s="3"/>
      <c r="CD722" s="3"/>
      <c r="CE722" s="3"/>
      <c r="CF722" s="3"/>
      <c r="CG722" s="1463">
        <f t="shared" si="37"/>
        <v>1</v>
      </c>
      <c r="CH722" s="1464"/>
      <c r="CI722" s="1469">
        <f t="shared" si="38"/>
        <v>13</v>
      </c>
      <c r="CJ722" s="1470"/>
      <c r="CK722" s="1463">
        <f t="shared" si="16"/>
        <v>0</v>
      </c>
      <c r="CL722" s="1464"/>
      <c r="CM722" s="1469">
        <f t="shared" si="17"/>
        <v>0</v>
      </c>
      <c r="CN722" s="1470"/>
      <c r="CO722" s="3"/>
      <c r="CP722" s="1458">
        <f t="shared" si="18"/>
        <v>0</v>
      </c>
      <c r="CQ722" s="1459"/>
      <c r="CR722" s="1459"/>
      <c r="CS722" s="1459"/>
      <c r="CT722" s="1460"/>
      <c r="CU722" s="1443">
        <f t="shared" si="19"/>
        <v>0</v>
      </c>
      <c r="CV722" s="1443"/>
      <c r="CW722" s="1443"/>
      <c r="CX722" s="1443"/>
      <c r="CY722" s="1443"/>
      <c r="CZ722" s="1443">
        <f t="shared" si="20"/>
        <v>13</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f t="shared" si="32"/>
        <v>1759</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8" t="s">
        <v>164</v>
      </c>
      <c r="C723" s="1339"/>
      <c r="D723" s="1339"/>
      <c r="E723" s="1339"/>
      <c r="F723" s="1340"/>
      <c r="G723" s="1350">
        <v>13</v>
      </c>
      <c r="H723" s="1351"/>
      <c r="I723" s="1351"/>
      <c r="J723" s="1352"/>
      <c r="K723" s="1344">
        <v>1026</v>
      </c>
      <c r="L723" s="1345"/>
      <c r="M723" s="1345"/>
      <c r="N723" s="1346"/>
      <c r="O723" s="1341">
        <f>2077-T723</f>
        <v>2026</v>
      </c>
      <c r="P723" s="1342"/>
      <c r="Q723" s="1342"/>
      <c r="R723" s="1342"/>
      <c r="S723" s="1343"/>
      <c r="T723" s="1341">
        <v>51</v>
      </c>
      <c r="U723" s="1342"/>
      <c r="V723" s="1342"/>
      <c r="W723" s="1343"/>
      <c r="X723" s="1353">
        <f t="shared" si="8"/>
        <v>2077</v>
      </c>
      <c r="Y723" s="1354"/>
      <c r="Z723" s="1354"/>
      <c r="AA723" s="1354"/>
      <c r="AB723" s="1355"/>
      <c r="AC723" s="1360">
        <v>0.5</v>
      </c>
      <c r="AD723" s="1361"/>
      <c r="AE723" s="1361"/>
      <c r="AF723" s="1361"/>
      <c r="AG723" s="1362"/>
      <c r="AH723" s="1356">
        <f t="shared" si="36"/>
        <v>0.5</v>
      </c>
      <c r="AI723" s="1357"/>
      <c r="AJ723" s="1358"/>
      <c r="AK723" s="1338" t="s">
        <v>591</v>
      </c>
      <c r="AL723" s="1339"/>
      <c r="AM723" s="1339"/>
      <c r="AN723" s="1339"/>
      <c r="AO723" s="1340"/>
      <c r="AP723" s="3"/>
      <c r="AQ723" s="3"/>
      <c r="AR723" s="3"/>
      <c r="AS723" s="3"/>
      <c r="AY723" s="116"/>
      <c r="AZ723" s="118">
        <f t="shared" si="9"/>
        <v>4154</v>
      </c>
      <c r="BA723" s="3"/>
      <c r="BB723" s="3"/>
      <c r="BC723" s="3"/>
      <c r="BD723" s="3"/>
      <c r="BE723" s="204"/>
      <c r="BF723" s="294">
        <f t="shared" si="10"/>
        <v>13</v>
      </c>
      <c r="BG723" s="297">
        <f t="shared" si="11"/>
        <v>7.9754601226993863E-2</v>
      </c>
      <c r="BH723" s="298">
        <f t="shared" si="12"/>
        <v>3.9877300613496931E-2</v>
      </c>
      <c r="BI723" s="3"/>
      <c r="BJ723" s="3"/>
      <c r="BK723" s="3"/>
      <c r="BL723" s="3"/>
      <c r="BM723" s="3"/>
      <c r="BN723" s="3"/>
      <c r="BS723" s="294">
        <f t="shared" si="13"/>
        <v>13</v>
      </c>
      <c r="BT723" s="297">
        <f t="shared" si="14"/>
        <v>7.9754601226993863E-2</v>
      </c>
      <c r="BU723" s="298">
        <f t="shared" si="15"/>
        <v>3.9877300613496931E-2</v>
      </c>
      <c r="CC723" s="3"/>
      <c r="CD723" s="3"/>
      <c r="CE723" s="3"/>
      <c r="CF723" s="3"/>
      <c r="CG723" s="1463">
        <f t="shared" si="37"/>
        <v>1</v>
      </c>
      <c r="CH723" s="1464"/>
      <c r="CI723" s="1469">
        <f t="shared" si="38"/>
        <v>13</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0</v>
      </c>
      <c r="DA723" s="1443"/>
      <c r="DB723" s="1443"/>
      <c r="DC723" s="1443"/>
      <c r="DD723" s="1443"/>
      <c r="DE723" s="1443">
        <f t="shared" si="21"/>
        <v>13</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t="str">
        <f t="shared" si="32"/>
        <v/>
      </c>
      <c r="FK723" s="1465"/>
      <c r="FL723" s="1465"/>
      <c r="FM723" s="1465"/>
      <c r="FN723" s="1464"/>
      <c r="FO723" s="1463">
        <f t="shared" si="33"/>
        <v>2026</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8" t="s">
        <v>325</v>
      </c>
      <c r="C724" s="1339"/>
      <c r="D724" s="1339"/>
      <c r="E724" s="1339"/>
      <c r="F724" s="1340"/>
      <c r="G724" s="1350">
        <v>41</v>
      </c>
      <c r="H724" s="1351"/>
      <c r="I724" s="1351"/>
      <c r="J724" s="1352"/>
      <c r="K724" s="1344">
        <v>559</v>
      </c>
      <c r="L724" s="1345"/>
      <c r="M724" s="1345"/>
      <c r="N724" s="1346"/>
      <c r="O724" s="1341">
        <f>1798-T724</f>
        <v>1767</v>
      </c>
      <c r="P724" s="1342"/>
      <c r="Q724" s="1342"/>
      <c r="R724" s="1342"/>
      <c r="S724" s="1343"/>
      <c r="T724" s="1341">
        <v>31</v>
      </c>
      <c r="U724" s="1342"/>
      <c r="V724" s="1342"/>
      <c r="W724" s="1343"/>
      <c r="X724" s="1353">
        <f t="shared" si="8"/>
        <v>1798</v>
      </c>
      <c r="Y724" s="1354"/>
      <c r="Z724" s="1354"/>
      <c r="AA724" s="1354"/>
      <c r="AB724" s="1355"/>
      <c r="AC724" s="1360">
        <v>0.6</v>
      </c>
      <c r="AD724" s="1361"/>
      <c r="AE724" s="1361"/>
      <c r="AF724" s="1361"/>
      <c r="AG724" s="1362"/>
      <c r="AH724" s="1356">
        <f t="shared" si="36"/>
        <v>0.6001335113484646</v>
      </c>
      <c r="AI724" s="1357"/>
      <c r="AJ724" s="1358"/>
      <c r="AK724" s="1338" t="s">
        <v>591</v>
      </c>
      <c r="AL724" s="1339"/>
      <c r="AM724" s="1339"/>
      <c r="AN724" s="1339"/>
      <c r="AO724" s="1340"/>
      <c r="AP724" s="3"/>
      <c r="AQ724" s="3"/>
      <c r="AR724" s="3"/>
      <c r="AS724" s="3"/>
      <c r="AY724" s="116"/>
      <c r="AZ724" s="118">
        <f t="shared" si="9"/>
        <v>2996</v>
      </c>
      <c r="BA724" s="3"/>
      <c r="BB724" s="3"/>
      <c r="BC724" s="3"/>
      <c r="BD724" s="3"/>
      <c r="BE724" s="204"/>
      <c r="BF724" s="294">
        <f t="shared" si="10"/>
        <v>41</v>
      </c>
      <c r="BG724" s="297">
        <f t="shared" si="11"/>
        <v>0.25153374233128833</v>
      </c>
      <c r="BH724" s="298">
        <f t="shared" si="12"/>
        <v>0.150920245398773</v>
      </c>
      <c r="BI724" s="3"/>
      <c r="BJ724" s="3"/>
      <c r="BK724" s="3"/>
      <c r="BL724" s="3"/>
      <c r="BM724" s="3"/>
      <c r="BN724" s="3"/>
      <c r="BS724" s="294">
        <f t="shared" si="13"/>
        <v>41</v>
      </c>
      <c r="BT724" s="297">
        <f t="shared" si="14"/>
        <v>0.25153374233128833</v>
      </c>
      <c r="BU724" s="298">
        <f t="shared" si="15"/>
        <v>0.150953828007896</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41</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f t="shared" si="31"/>
        <v>1767</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8" t="s">
        <v>163</v>
      </c>
      <c r="C725" s="1339"/>
      <c r="D725" s="1339"/>
      <c r="E725" s="1339"/>
      <c r="F725" s="1340"/>
      <c r="G725" s="1350">
        <v>30</v>
      </c>
      <c r="H725" s="1351"/>
      <c r="I725" s="1351"/>
      <c r="J725" s="1352"/>
      <c r="K725" s="1344">
        <v>771</v>
      </c>
      <c r="L725" s="1345"/>
      <c r="M725" s="1345"/>
      <c r="N725" s="1346"/>
      <c r="O725" s="1341">
        <f>2158-T725</f>
        <v>2119</v>
      </c>
      <c r="P725" s="1342"/>
      <c r="Q725" s="1342"/>
      <c r="R725" s="1342"/>
      <c r="S725" s="1343"/>
      <c r="T725" s="1341">
        <v>39</v>
      </c>
      <c r="U725" s="1342"/>
      <c r="V725" s="1342"/>
      <c r="W725" s="1343"/>
      <c r="X725" s="1353">
        <f t="shared" si="8"/>
        <v>2158</v>
      </c>
      <c r="Y725" s="1354"/>
      <c r="Z725" s="1354"/>
      <c r="AA725" s="1354"/>
      <c r="AB725" s="1355"/>
      <c r="AC725" s="1360">
        <v>0.6</v>
      </c>
      <c r="AD725" s="1361"/>
      <c r="AE725" s="1361"/>
      <c r="AF725" s="1361"/>
      <c r="AG725" s="1362"/>
      <c r="AH725" s="1356">
        <f t="shared" si="36"/>
        <v>0.60011123470522798</v>
      </c>
      <c r="AI725" s="1357"/>
      <c r="AJ725" s="1358"/>
      <c r="AK725" s="1338" t="s">
        <v>591</v>
      </c>
      <c r="AL725" s="1339"/>
      <c r="AM725" s="1339"/>
      <c r="AN725" s="1339"/>
      <c r="AO725" s="1340"/>
      <c r="AP725" s="3"/>
      <c r="AQ725" s="3"/>
      <c r="AR725" s="3"/>
      <c r="AS725" s="3"/>
      <c r="AY725" s="1085"/>
      <c r="AZ725" s="118">
        <f t="shared" si="9"/>
        <v>3596</v>
      </c>
      <c r="BA725" s="3"/>
      <c r="BB725" s="3"/>
      <c r="BC725" s="3"/>
      <c r="BD725" s="3"/>
      <c r="BE725" s="204"/>
      <c r="BF725" s="294">
        <f t="shared" si="10"/>
        <v>30</v>
      </c>
      <c r="BG725" s="297">
        <f t="shared" si="11"/>
        <v>0.18404907975460122</v>
      </c>
      <c r="BH725" s="298">
        <f t="shared" si="12"/>
        <v>0.11042944785276072</v>
      </c>
      <c r="BI725" s="3"/>
      <c r="BJ725" s="3"/>
      <c r="BK725" s="3"/>
      <c r="BL725" s="3"/>
      <c r="BM725" s="3"/>
      <c r="BN725" s="3"/>
      <c r="BS725" s="294">
        <f t="shared" si="13"/>
        <v>30</v>
      </c>
      <c r="BT725" s="297">
        <f t="shared" si="14"/>
        <v>0.18404907975460122</v>
      </c>
      <c r="BU725" s="298">
        <f t="shared" si="15"/>
        <v>0.11044992049789472</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30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f t="shared" si="32"/>
        <v>2119</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8" t="s">
        <v>164</v>
      </c>
      <c r="C726" s="1339"/>
      <c r="D726" s="1339"/>
      <c r="E726" s="1339"/>
      <c r="F726" s="1340"/>
      <c r="G726" s="1350">
        <v>34</v>
      </c>
      <c r="H726" s="1351"/>
      <c r="I726" s="1351"/>
      <c r="J726" s="1352"/>
      <c r="K726" s="1344">
        <v>1026</v>
      </c>
      <c r="L726" s="1345"/>
      <c r="M726" s="1345"/>
      <c r="N726" s="1346"/>
      <c r="O726" s="1341">
        <f>2493-T726</f>
        <v>2442</v>
      </c>
      <c r="P726" s="1342"/>
      <c r="Q726" s="1342"/>
      <c r="R726" s="1342"/>
      <c r="S726" s="1343"/>
      <c r="T726" s="1341">
        <v>51</v>
      </c>
      <c r="U726" s="1342"/>
      <c r="V726" s="1342"/>
      <c r="W726" s="1343"/>
      <c r="X726" s="1353">
        <f t="shared" si="8"/>
        <v>2493</v>
      </c>
      <c r="Y726" s="1354"/>
      <c r="Z726" s="1354"/>
      <c r="AA726" s="1354"/>
      <c r="AB726" s="1355"/>
      <c r="AC726" s="1360">
        <v>0.6</v>
      </c>
      <c r="AD726" s="1361"/>
      <c r="AE726" s="1361"/>
      <c r="AF726" s="1361"/>
      <c r="AG726" s="1362"/>
      <c r="AH726" s="1356">
        <f t="shared" si="36"/>
        <v>0.60014443909484838</v>
      </c>
      <c r="AI726" s="1357"/>
      <c r="AJ726" s="1358"/>
      <c r="AK726" s="1338" t="s">
        <v>591</v>
      </c>
      <c r="AL726" s="1339"/>
      <c r="AM726" s="1339"/>
      <c r="AN726" s="1339"/>
      <c r="AO726" s="1340"/>
      <c r="AP726" s="3"/>
      <c r="AQ726" s="3"/>
      <c r="AR726" s="3"/>
      <c r="AS726" s="3"/>
      <c r="AY726" s="1085"/>
      <c r="AZ726" s="118">
        <f t="shared" si="9"/>
        <v>4154</v>
      </c>
      <c r="BA726" s="3"/>
      <c r="BB726" s="3"/>
      <c r="BC726" s="3"/>
      <c r="BD726" s="3"/>
      <c r="BE726" s="204"/>
      <c r="BF726" s="294">
        <f t="shared" si="10"/>
        <v>34</v>
      </c>
      <c r="BG726" s="297">
        <f t="shared" si="11"/>
        <v>0.20858895705521471</v>
      </c>
      <c r="BH726" s="298">
        <f t="shared" si="12"/>
        <v>0.12515337423312883</v>
      </c>
      <c r="BI726" s="3"/>
      <c r="BJ726" s="3"/>
      <c r="BK726" s="3"/>
      <c r="BL726" s="3"/>
      <c r="BM726" s="3"/>
      <c r="BN726" s="3"/>
      <c r="BS726" s="294">
        <f t="shared" si="13"/>
        <v>34</v>
      </c>
      <c r="BT726" s="297">
        <f t="shared" si="14"/>
        <v>0.20858895705521471</v>
      </c>
      <c r="BU726" s="298">
        <f t="shared" si="15"/>
        <v>0.12518350263328126</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34</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f t="shared" si="33"/>
        <v>2442</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8"/>
        <v>0</v>
      </c>
      <c r="Y727" s="1354"/>
      <c r="Z727" s="1354"/>
      <c r="AA727" s="1354"/>
      <c r="AB727" s="1355"/>
      <c r="AC727" s="1360"/>
      <c r="AD727" s="1361"/>
      <c r="AE727" s="1361"/>
      <c r="AF727" s="1361"/>
      <c r="AG727" s="1362"/>
      <c r="AH727" s="1356" t="str">
        <f t="shared" si="36"/>
        <v/>
      </c>
      <c r="AI727" s="1357"/>
      <c r="AJ727" s="1358"/>
      <c r="AK727" s="1338" t="s">
        <v>591</v>
      </c>
      <c r="AL727" s="1339"/>
      <c r="AM727" s="1339"/>
      <c r="AN727" s="1339"/>
      <c r="AO727" s="134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8"/>
        <v>0</v>
      </c>
      <c r="Y728" s="1354"/>
      <c r="Z728" s="1354"/>
      <c r="AA728" s="1354"/>
      <c r="AB728" s="1355"/>
      <c r="AC728" s="1360"/>
      <c r="AD728" s="1361"/>
      <c r="AE728" s="1361"/>
      <c r="AF728" s="1361"/>
      <c r="AG728" s="1362"/>
      <c r="AH728" s="1356" t="str">
        <f t="shared" si="36"/>
        <v/>
      </c>
      <c r="AI728" s="1357"/>
      <c r="AJ728" s="1358"/>
      <c r="AK728" s="1338" t="s">
        <v>591</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8"/>
        <v>0</v>
      </c>
      <c r="Y729" s="1354"/>
      <c r="Z729" s="1354"/>
      <c r="AA729" s="1354"/>
      <c r="AB729" s="1355"/>
      <c r="AC729" s="1360"/>
      <c r="AD729" s="1361"/>
      <c r="AE729" s="1361"/>
      <c r="AF729" s="1361"/>
      <c r="AG729" s="1362"/>
      <c r="AH729" s="1356" t="str">
        <f t="shared" si="36"/>
        <v/>
      </c>
      <c r="AI729" s="1357"/>
      <c r="AJ729" s="1358"/>
      <c r="AK729" s="1338" t="s">
        <v>591</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8"/>
        <v>0</v>
      </c>
      <c r="Y730" s="1354"/>
      <c r="Z730" s="1354"/>
      <c r="AA730" s="1354"/>
      <c r="AB730" s="1355"/>
      <c r="AC730" s="1360"/>
      <c r="AD730" s="1361"/>
      <c r="AE730" s="1361"/>
      <c r="AF730" s="1361"/>
      <c r="AG730" s="1362"/>
      <c r="AH730" s="1356" t="str">
        <f t="shared" si="36"/>
        <v/>
      </c>
      <c r="AI730" s="1357"/>
      <c r="AJ730" s="1358"/>
      <c r="AK730" s="1338" t="s">
        <v>591</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6"/>
        <v/>
      </c>
      <c r="AI731" s="1357"/>
      <c r="AJ731" s="1358"/>
      <c r="AK731" s="1338" t="s">
        <v>591</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6"/>
        <v/>
      </c>
      <c r="AI732" s="1357"/>
      <c r="AJ732" s="1358"/>
      <c r="AK732" s="1338" t="s">
        <v>591</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6"/>
        <v/>
      </c>
      <c r="AI733" s="1357"/>
      <c r="AJ733" s="1358"/>
      <c r="AK733" s="1338" t="s">
        <v>591</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6"/>
        <v/>
      </c>
      <c r="AI734" s="1357"/>
      <c r="AJ734" s="1358"/>
      <c r="AK734" s="1338" t="s">
        <v>591</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6"/>
        <v/>
      </c>
      <c r="AI735" s="1357"/>
      <c r="AJ735" s="1358"/>
      <c r="AK735" s="1338" t="s">
        <v>591</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591</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591</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591</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591</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591</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591</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591</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591</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591</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591</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591</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591</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591</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591</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591</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591</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591</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163</v>
      </c>
      <c r="H753" s="1622"/>
      <c r="I753" s="1622"/>
      <c r="J753" s="1623"/>
      <c r="K753" s="902" t="s">
        <v>124</v>
      </c>
      <c r="L753" s="5"/>
      <c r="M753" s="5"/>
      <c r="N753" s="46"/>
      <c r="O753" s="1353">
        <f>SUMPRODUCT(G718:G752,O718:O752)</f>
        <v>307506</v>
      </c>
      <c r="P753" s="1354"/>
      <c r="Q753" s="1354"/>
      <c r="R753" s="1354"/>
      <c r="S753" s="1355"/>
      <c r="T753"/>
      <c r="U753"/>
      <c r="V753"/>
      <c r="W753"/>
      <c r="X753" s="904" t="s">
        <v>900</v>
      </c>
      <c r="Y753" s="903"/>
      <c r="Z753" s="903"/>
      <c r="AA753" s="903"/>
      <c r="AB753" s="905"/>
      <c r="AC753" s="1604">
        <f>BH753</f>
        <v>0.54355828220858893</v>
      </c>
      <c r="AD753" s="1605"/>
      <c r="AE753" s="1605"/>
      <c r="AF753" s="1605"/>
      <c r="AG753" s="1606"/>
      <c r="AH753" s="1604">
        <f>IFERROR(BU753,"")</f>
        <v>0.54364556184249491</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163</v>
      </c>
      <c r="BG753" s="300">
        <f>SUM(BG718:BG752)</f>
        <v>1</v>
      </c>
      <c r="BH753" s="300">
        <f>SUM(BH718:BH752)</f>
        <v>0.54355828220858893</v>
      </c>
      <c r="BI753"/>
      <c r="BJ753"/>
      <c r="BK753"/>
      <c r="BL753"/>
      <c r="BO753"/>
      <c r="BP753"/>
      <c r="BQ753"/>
      <c r="BR753"/>
      <c r="BS753" s="859">
        <f>SUM(BS718:BS752)</f>
        <v>163</v>
      </c>
      <c r="BT753" s="300">
        <f>SUM(BT718:BT752)</f>
        <v>1</v>
      </c>
      <c r="BU753" s="300">
        <f>SUM(BU718:BU752)</f>
        <v>0.54364556184249491</v>
      </c>
      <c r="CI753" s="1463">
        <f>SUM(CI718:CJ752)</f>
        <v>41</v>
      </c>
      <c r="CJ753" s="1464"/>
      <c r="CM753" s="1463">
        <f>SUM(CM718:CN752)</f>
        <v>17</v>
      </c>
      <c r="CN753" s="1464"/>
      <c r="CP753" s="1463">
        <f>SUM(CP718:CT752)</f>
        <v>0</v>
      </c>
      <c r="CQ753" s="1465"/>
      <c r="CR753" s="1465"/>
      <c r="CS753" s="1465"/>
      <c r="CT753" s="1464"/>
      <c r="CU753" s="1461">
        <f>SUM(CU718:CY752)</f>
        <v>63</v>
      </c>
      <c r="CV753" s="1461"/>
      <c r="CW753" s="1461"/>
      <c r="CX753" s="1461"/>
      <c r="CY753" s="1461"/>
      <c r="CZ753" s="1461">
        <f>SUM(CZ718:DD752)</f>
        <v>48</v>
      </c>
      <c r="DA753" s="1461"/>
      <c r="DB753" s="1461"/>
      <c r="DC753" s="1461"/>
      <c r="DD753" s="1461"/>
      <c r="DE753" s="1461">
        <f>SUM(DE718:DI752)</f>
        <v>52</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7</v>
      </c>
      <c r="EA753" s="1461"/>
      <c r="EB753" s="1461"/>
      <c r="EC753" s="1461"/>
      <c r="ED753" s="1461"/>
      <c r="EE753" s="1461">
        <f>SUM(EE718:EI752)</f>
        <v>5</v>
      </c>
      <c r="EF753" s="1461"/>
      <c r="EG753" s="1461"/>
      <c r="EH753" s="1461"/>
      <c r="EI753" s="1461"/>
      <c r="EJ753" s="1461">
        <f>SUM(EJ718:EN752)</f>
        <v>5</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4102</v>
      </c>
      <c r="FF753" s="1461"/>
      <c r="FG753" s="1461"/>
      <c r="FH753" s="1461"/>
      <c r="FI753" s="1461"/>
      <c r="FJ753" s="1461">
        <f>SUM(FJ718:FN752)</f>
        <v>4918</v>
      </c>
      <c r="FK753" s="1461"/>
      <c r="FL753" s="1461"/>
      <c r="FM753" s="1461"/>
      <c r="FN753" s="1461"/>
      <c r="FO753" s="1461">
        <f>SUM(FO718:FS752)</f>
        <v>5663</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3">
        <f>CP753+CU753+CZ753+DE753+DJ753+DO753</f>
        <v>163</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63</v>
      </c>
      <c r="CZ755" s="3"/>
      <c r="DA755" s="3"/>
      <c r="DB755" s="3"/>
      <c r="DC755" s="3"/>
      <c r="DD755" s="861">
        <f>CZ753*2</f>
        <v>96</v>
      </c>
      <c r="DE755" s="3"/>
      <c r="DF755" s="3"/>
      <c r="DG755" s="3"/>
      <c r="DH755" s="3"/>
      <c r="DI755" s="861">
        <f>DE753*3</f>
        <v>156</v>
      </c>
      <c r="DJ755" s="3"/>
      <c r="DK755" s="3"/>
      <c r="DL755" s="3"/>
      <c r="DM755" s="3"/>
      <c r="DN755" s="861">
        <f>DJ753*4</f>
        <v>0</v>
      </c>
      <c r="DO755" s="3"/>
      <c r="DP755" s="3"/>
      <c r="DQ755" s="3"/>
      <c r="DR755" s="3"/>
      <c r="DS755" s="861">
        <f>DO753*5</f>
        <v>0</v>
      </c>
      <c r="DU755" s="861">
        <f>CT755+CY755+DD755+DI755+DN755+DS755</f>
        <v>315</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1">
        <f>DU755</f>
        <v>315</v>
      </c>
      <c r="P756" s="1461"/>
      <c r="Q756" s="1461"/>
      <c r="R756" s="1461"/>
      <c r="S756" s="969"/>
      <c r="T756" s="969"/>
      <c r="U756" s="118" t="s">
        <v>1892</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20" t="s">
        <v>1678</v>
      </c>
      <c r="U769" s="1721"/>
      <c r="V769" s="1721"/>
      <c r="W769" s="1722"/>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3">
        <v>2</v>
      </c>
      <c r="P773" s="1613"/>
      <c r="Q773" s="1613"/>
      <c r="R773" s="1613"/>
      <c r="S773" s="1613"/>
      <c r="T773" s="1344">
        <v>771</v>
      </c>
      <c r="U773" s="1345"/>
      <c r="V773" s="1345"/>
      <c r="W773" s="1346"/>
      <c r="X773" s="1341">
        <v>0</v>
      </c>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663" t="s">
        <v>669</v>
      </c>
      <c r="K779" s="1663"/>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20" t="s">
        <v>1678</v>
      </c>
      <c r="U783" s="1721"/>
      <c r="V783" s="1721"/>
      <c r="W783" s="1722"/>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307506</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3690072</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63</v>
      </c>
      <c r="CV802" s="1473"/>
      <c r="CW802" s="1473"/>
      <c r="CX802" s="1473"/>
      <c r="CY802" s="1474"/>
      <c r="CZ802" s="1472">
        <f>CZ753+CZ777+CZ797</f>
        <v>50</v>
      </c>
      <c r="DA802" s="1473"/>
      <c r="DB802" s="1473"/>
      <c r="DC802" s="1473"/>
      <c r="DD802" s="1474"/>
      <c r="DE802" s="1472">
        <f>DE753+DE777+DE797</f>
        <v>52</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315</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0</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41330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v>0</v>
      </c>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41330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3731402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8250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1500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8500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1560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2715</v>
      </c>
      <c r="N846" s="1594"/>
      <c r="O846" s="1594"/>
      <c r="P846" s="1594"/>
      <c r="Q846" s="1594"/>
      <c r="R846" s="1594"/>
      <c r="S846" s="1594"/>
      <c r="T846" s="1594"/>
      <c r="U846" s="1594"/>
      <c r="V846" s="1595"/>
      <c r="W846" s="1481">
        <f>19721+2340+120+400+3393+7200+798+1800</f>
        <v>35772</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55582</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153151</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1">
        <v>0</v>
      </c>
      <c r="X851" s="1651"/>
      <c r="Y851" s="1651"/>
      <c r="Z851" s="1651"/>
      <c r="AA851" s="1651"/>
      <c r="AB851" s="1651"/>
      <c r="AC851" s="1651"/>
      <c r="AZ851" s="1719"/>
      <c r="BA851" s="1719"/>
      <c r="BB851" s="14"/>
      <c r="BC851" s="14"/>
    </row>
    <row r="852" spans="3:55" ht="12.95" customHeight="1">
      <c r="J852" s="45" t="s">
        <v>351</v>
      </c>
      <c r="K852" s="5"/>
      <c r="L852" s="5"/>
      <c r="M852" s="5"/>
      <c r="N852" s="5"/>
      <c r="O852" s="5"/>
      <c r="P852" s="5"/>
      <c r="Q852" s="5"/>
      <c r="R852" s="5"/>
      <c r="S852" s="5"/>
      <c r="T852" s="5"/>
      <c r="U852" s="5"/>
      <c r="V852" s="46"/>
      <c r="W852" s="1651">
        <v>0</v>
      </c>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f>27024</f>
        <v>27024</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f>138600+17766+873</f>
        <v>157239</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184263</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0">
        <v>121170</v>
      </c>
      <c r="X857" s="1631"/>
      <c r="Y857" s="1631"/>
      <c r="Z857" s="1631"/>
      <c r="AA857" s="1631"/>
      <c r="AB857" s="1631"/>
      <c r="AC857" s="1632"/>
      <c r="AD857" s="528"/>
      <c r="AZ857" s="34"/>
      <c r="BA857" s="34"/>
      <c r="BB857" s="34"/>
      <c r="BC857" s="34"/>
    </row>
    <row r="858" spans="3:55" ht="12.95" customHeight="1">
      <c r="C858" s="2" t="s">
        <v>347</v>
      </c>
      <c r="J858" s="121" t="s">
        <v>1654</v>
      </c>
      <c r="K858" s="5"/>
      <c r="L858" s="5"/>
      <c r="M858" s="5"/>
      <c r="N858" s="5"/>
      <c r="O858" s="5"/>
      <c r="P858" s="5"/>
      <c r="Q858" s="5"/>
      <c r="R858" s="5"/>
      <c r="S858" s="5"/>
      <c r="T858" s="1710">
        <v>4</v>
      </c>
      <c r="U858" s="1697"/>
      <c r="V858" s="171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f>48696+61399</f>
        <v>110095</v>
      </c>
      <c r="X859" s="1631"/>
      <c r="Y859" s="1631"/>
      <c r="Z859" s="1631"/>
      <c r="AA859" s="1631"/>
      <c r="AB859" s="1631"/>
      <c r="AC859" s="1632"/>
      <c r="AD859" s="533"/>
      <c r="AZ859" s="34"/>
      <c r="BA859" s="34"/>
      <c r="BB859" s="34"/>
      <c r="BC859" s="34"/>
    </row>
    <row r="860" spans="3:55" ht="12.95" customHeight="1">
      <c r="C860" s="2"/>
      <c r="J860" s="121" t="s">
        <v>1655</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3" t="s">
        <v>2712</v>
      </c>
      <c r="N861" s="1594"/>
      <c r="O861" s="1594"/>
      <c r="P861" s="1594"/>
      <c r="Q861" s="1594"/>
      <c r="R861" s="1594"/>
      <c r="S861" s="1594"/>
      <c r="T861" s="1594"/>
      <c r="U861" s="1594"/>
      <c r="V861" s="1595"/>
      <c r="W861" s="1630">
        <v>86902</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318167</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f>148500+866</f>
        <v>149366</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1">
        <v>600</v>
      </c>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f>960+760+360+14850+3000+1350+2700+1800+650+450+21685</f>
        <v>48565</v>
      </c>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22473</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v>5112</v>
      </c>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v>28500</v>
      </c>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v>12800</v>
      </c>
      <c r="X870" s="1481"/>
      <c r="Y870" s="1481"/>
      <c r="Z870" s="1481"/>
      <c r="AA870" s="1481"/>
      <c r="AB870" s="1481"/>
      <c r="AC870" s="1481"/>
      <c r="AU870" s="4"/>
      <c r="AZ870" s="34"/>
      <c r="BA870" s="34"/>
      <c r="BB870" s="34"/>
      <c r="BC870" s="34"/>
    </row>
    <row r="871" spans="3:55" ht="12.95" customHeight="1">
      <c r="J871" s="45" t="s">
        <v>170</v>
      </c>
      <c r="K871" s="5"/>
      <c r="L871" s="5"/>
      <c r="M871" s="1593" t="s">
        <v>2713</v>
      </c>
      <c r="N871" s="1594"/>
      <c r="O871" s="1594"/>
      <c r="P871" s="1594"/>
      <c r="Q871" s="1594"/>
      <c r="R871" s="1594"/>
      <c r="S871" s="1594"/>
      <c r="T871" s="1594"/>
      <c r="U871" s="1594"/>
      <c r="V871" s="1595"/>
      <c r="W871" s="1481">
        <v>5000</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123050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3" t="s">
        <v>2716</v>
      </c>
      <c r="N874" s="1594"/>
      <c r="O874" s="1594"/>
      <c r="P874" s="1594"/>
      <c r="Q874" s="1594"/>
      <c r="R874" s="1594"/>
      <c r="S874" s="1594"/>
      <c r="T874" s="1594"/>
      <c r="U874" s="1594"/>
      <c r="V874" s="1595"/>
      <c r="W874" s="1466">
        <v>23796</v>
      </c>
      <c r="X874" s="1467"/>
      <c r="Y874" s="1467"/>
      <c r="Z874" s="1467"/>
      <c r="AA874" s="1467"/>
      <c r="AB874" s="1467"/>
      <c r="AC874" s="1468"/>
      <c r="AD874" s="533"/>
      <c r="AV874" s="14"/>
      <c r="AW874" s="14"/>
      <c r="AX874" s="14"/>
      <c r="AY874" s="14"/>
      <c r="AZ874" s="34"/>
      <c r="BA874" s="34"/>
      <c r="BB874" s="34"/>
      <c r="BC874" s="34"/>
    </row>
    <row r="875" spans="3:55" ht="12.95" customHeight="1">
      <c r="C875" s="2" t="s">
        <v>1243</v>
      </c>
      <c r="J875" s="45" t="s">
        <v>170</v>
      </c>
      <c r="K875" s="5"/>
      <c r="L875" s="5"/>
      <c r="M875" s="1593" t="s">
        <v>2714</v>
      </c>
      <c r="N875" s="1594"/>
      <c r="O875" s="1594"/>
      <c r="P875" s="1594"/>
      <c r="Q875" s="1594"/>
      <c r="R875" s="1594"/>
      <c r="S875" s="1594"/>
      <c r="T875" s="1594"/>
      <c r="U875" s="1594"/>
      <c r="V875" s="1595"/>
      <c r="W875" s="1466">
        <v>1600</v>
      </c>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25396</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1008975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165</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6115</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f>'Sources and Uses Budget'!B75</f>
        <v>746315</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8">
        <v>0</v>
      </c>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f>2500*12</f>
        <v>30000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4125*12</f>
        <v>49500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5">
        <v>18618</v>
      </c>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0</v>
      </c>
      <c r="AD891" s="1467"/>
      <c r="AE891" s="1467"/>
      <c r="AF891" s="1467"/>
      <c r="AG891" s="1467"/>
      <c r="AH891" s="1468"/>
      <c r="AZ891" s="34"/>
      <c r="BA891" s="34"/>
      <c r="BB891" s="34"/>
      <c r="BC891" s="34"/>
    </row>
    <row r="892" spans="3:55" ht="12.95"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7">
        <v>206733</v>
      </c>
      <c r="AD893" s="1467"/>
      <c r="AE893" s="1467"/>
      <c r="AF893" s="1467"/>
      <c r="AG893" s="1467"/>
      <c r="AH893" s="1468"/>
      <c r="AZ893" s="34"/>
      <c r="BA893" s="34"/>
      <c r="BB893" s="34"/>
      <c r="BC893" s="34"/>
    </row>
    <row r="894" spans="3:55" ht="12.9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v>0</v>
      </c>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v>0</v>
      </c>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v>0</v>
      </c>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AM554+AM555</f>
        <v>43053467</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545</v>
      </c>
      <c r="V919" s="1403"/>
      <c r="W919" s="1403"/>
      <c r="X919" s="1403"/>
      <c r="Y919" s="1403"/>
      <c r="Z919" s="1404"/>
      <c r="AA919" s="1408">
        <f>AM556</f>
        <v>1797442</v>
      </c>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2192</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2193</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2194</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2195</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2196</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2197</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1276</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2201</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2202</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2198</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2199</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2200</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2203</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2204</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2191</v>
      </c>
      <c r="G946" s="1602"/>
      <c r="H946" s="1603"/>
      <c r="I946" s="1593" t="s">
        <v>334</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307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1660</v>
      </c>
      <c r="D962" s="5"/>
      <c r="E962" s="5"/>
      <c r="F962" s="5"/>
      <c r="G962" s="5"/>
      <c r="H962" s="5"/>
      <c r="I962" s="5"/>
      <c r="J962" s="5"/>
      <c r="K962" s="5"/>
      <c r="L962" s="46"/>
      <c r="M962" s="1405"/>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669</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473390</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545814</v>
      </c>
      <c r="S987" s="1552"/>
      <c r="T987" s="1552"/>
      <c r="U987" s="1552"/>
      <c r="V987" s="1552"/>
      <c r="W987" s="1552"/>
      <c r="X987" s="1552"/>
      <c r="Y987" s="1552"/>
      <c r="Z987" s="1552"/>
      <c r="AA987" s="1552"/>
      <c r="AB987" s="1390">
        <f>CU802</f>
        <v>63</v>
      </c>
      <c r="AC987" s="1391"/>
      <c r="AD987" s="1391"/>
      <c r="AE987" s="1391"/>
      <c r="AF987" s="1391"/>
      <c r="AG987" s="1391"/>
      <c r="AH987" s="1391"/>
      <c r="AI987" s="1392"/>
      <c r="AJ987" s="1488">
        <f>IF(ISERROR((R987*AB987)),0,(R987*AB987))</f>
        <v>34386282</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658400</v>
      </c>
      <c r="S988" s="1552"/>
      <c r="T988" s="1552"/>
      <c r="U988" s="1552"/>
      <c r="V988" s="1552"/>
      <c r="W988" s="1552"/>
      <c r="X988" s="1552"/>
      <c r="Y988" s="1552"/>
      <c r="Z988" s="1552"/>
      <c r="AA988" s="1552"/>
      <c r="AB988" s="1390">
        <f>CZ802</f>
        <v>50</v>
      </c>
      <c r="AC988" s="1391"/>
      <c r="AD988" s="1391"/>
      <c r="AE988" s="1391"/>
      <c r="AF988" s="1391"/>
      <c r="AG988" s="1391"/>
      <c r="AH988" s="1391"/>
      <c r="AI988" s="1392"/>
      <c r="AJ988" s="1488">
        <f>IF(ISERROR((R988*AB988)),0,(R988*AB988))</f>
        <v>32920000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842752</v>
      </c>
      <c r="S989" s="1552"/>
      <c r="T989" s="1552"/>
      <c r="U989" s="1552"/>
      <c r="V989" s="1552"/>
      <c r="W989" s="1552"/>
      <c r="X989" s="1552"/>
      <c r="Y989" s="1552"/>
      <c r="Z989" s="1552"/>
      <c r="AA989" s="1552"/>
      <c r="AB989" s="1390">
        <f>DE802</f>
        <v>52</v>
      </c>
      <c r="AC989" s="1391"/>
      <c r="AD989" s="1391"/>
      <c r="AE989" s="1391"/>
      <c r="AF989" s="1391"/>
      <c r="AG989" s="1391"/>
      <c r="AH989" s="1391"/>
      <c r="AI989" s="1392"/>
      <c r="AJ989" s="1488">
        <f>IF(ISERROR((R989*AB989)),0,(R989*AB989))</f>
        <v>43823104</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938878</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165</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111129386</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1219</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2235</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2205</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1285</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1283</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163</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0.25</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4" t="s">
        <v>1682</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1284</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1286</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1287</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2607</v>
      </c>
    </row>
    <row r="1013" spans="1:52" ht="12.95" customHeight="1">
      <c r="A1013" s="14"/>
      <c r="B1013" s="79"/>
      <c r="C1013" s="80" t="s">
        <v>215</v>
      </c>
      <c r="D1013" s="1494" t="s">
        <v>1288</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7" t="s">
        <v>1289</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2236</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7" t="s">
        <v>1290</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1291</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7" t="s">
        <v>1292</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2606</v>
      </c>
      <c r="AY1024" s="201">
        <f>IF(SUM(AY1015:AY1023)&lt;=0.2,SUM(AY1015:AY1023),0.2)</f>
        <v>0</v>
      </c>
    </row>
    <row r="1025" spans="1:57" ht="12.95" customHeight="1">
      <c r="A1025" s="14"/>
      <c r="B1025" s="79"/>
      <c r="C1025" s="80" t="s">
        <v>229</v>
      </c>
      <c r="D1025" s="1494" t="s">
        <v>1293</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1689</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1294</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11112939</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1295</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4" t="s">
        <v>1685</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4" t="s">
        <v>1687</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0.35582822085889571</v>
      </c>
      <c r="BB1039" s="3" t="s">
        <v>2493</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2490</v>
      </c>
    </row>
    <row r="1041" spans="1:56" ht="12.95" customHeight="1">
      <c r="A1041" s="14"/>
      <c r="B1041" s="79"/>
      <c r="C1041" s="131" t="s">
        <v>1009</v>
      </c>
      <c r="D1041" s="1494" t="s">
        <v>1296</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2.95" customHeight="1">
      <c r="A1042" s="14"/>
      <c r="B1042" s="73"/>
      <c r="C1042" s="74"/>
      <c r="D1042" s="1507" t="s">
        <v>2144</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1683</v>
      </c>
      <c r="D1045" s="1504" t="s">
        <v>1864</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27782346.5</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7" t="s">
        <v>1298</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9149419.1999999993</v>
      </c>
      <c r="BA1046" s="1182">
        <f>IF(BA1040,20%,15%)</f>
        <v>0.15</v>
      </c>
      <c r="BB1046" s="3" t="s">
        <v>2479</v>
      </c>
      <c r="BC1046" s="3" t="s">
        <v>2480</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971</v>
      </c>
      <c r="E1048" s="133"/>
      <c r="F1048" s="133"/>
      <c r="G1048" s="133"/>
      <c r="H1048" s="133"/>
      <c r="I1048" s="1570">
        <f>AY1003</f>
        <v>163</v>
      </c>
      <c r="J1048" s="1571"/>
      <c r="K1048" s="7"/>
      <c r="L1048" s="133"/>
      <c r="M1048" s="133"/>
      <c r="N1048" s="133"/>
      <c r="O1048" s="133"/>
      <c r="P1048" s="133"/>
      <c r="Q1048" s="133"/>
      <c r="R1048" s="133"/>
      <c r="S1048" s="133"/>
      <c r="T1048" s="133"/>
      <c r="U1048" s="133"/>
      <c r="V1048" s="134" t="s">
        <v>972</v>
      </c>
      <c r="W1048" s="48"/>
      <c r="X1048" s="1568">
        <f>CI753</f>
        <v>41</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1684</v>
      </c>
      <c r="D1049" s="1494" t="s">
        <v>2170</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22225877.200000003</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7" t="s">
        <v>1297</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0">
        <f>AY1003</f>
        <v>163</v>
      </c>
      <c r="J1052" s="1571"/>
      <c r="K1052" s="14"/>
      <c r="L1052" s="133"/>
      <c r="M1052" s="133"/>
      <c r="N1052" s="133"/>
      <c r="O1052" s="133"/>
      <c r="P1052" s="133"/>
      <c r="Q1052" s="133"/>
      <c r="R1052" s="133"/>
      <c r="S1052" s="133"/>
      <c r="T1052" s="133"/>
      <c r="U1052" s="133"/>
      <c r="V1052" s="134" t="s">
        <v>973</v>
      </c>
      <c r="X1052" s="1568">
        <f>CM753</f>
        <v>17</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172250548.69999999</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70145547</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9149419.1999999993</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0.51942834038865027</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9149419</v>
      </c>
      <c r="BB1058" s="3" t="s">
        <v>2494</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6649419</v>
      </c>
      <c r="BB1059" s="3" t="s">
        <v>2495</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545</v>
      </c>
      <c r="B1065" s="1333"/>
      <c r="C1065" s="1334">
        <v>1</v>
      </c>
      <c r="D1065" s="1334"/>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591</v>
      </c>
      <c r="B1067" s="1333"/>
      <c r="C1067" s="1334">
        <v>2</v>
      </c>
      <c r="D1067" s="1334"/>
      <c r="E1067" s="1337" t="s">
        <v>2238</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591</v>
      </c>
      <c r="B1070" s="1333"/>
      <c r="C1070" s="1336">
        <v>3</v>
      </c>
      <c r="D1070" s="1336"/>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591</v>
      </c>
      <c r="B1075" s="1333"/>
      <c r="C1075" s="1336">
        <v>4</v>
      </c>
      <c r="D1075" s="1336"/>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591</v>
      </c>
      <c r="B1081" s="1333"/>
      <c r="C1081" s="1336">
        <v>5</v>
      </c>
      <c r="D1081" s="1336"/>
      <c r="E1081" s="1293" t="s">
        <v>2242</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591</v>
      </c>
      <c r="B1085" s="1333"/>
      <c r="C1085" s="1336">
        <v>6</v>
      </c>
      <c r="D1085" s="1336"/>
      <c r="E1085" s="1293" t="s">
        <v>2243</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591</v>
      </c>
      <c r="B1089" s="1333"/>
      <c r="C1089" s="1336">
        <v>7</v>
      </c>
      <c r="D1089" s="1336"/>
      <c r="E1089" s="1293" t="s">
        <v>2138</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591</v>
      </c>
      <c r="B1094" s="1333"/>
      <c r="C1094" s="1336">
        <v>8</v>
      </c>
      <c r="D1094" s="1336"/>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591</v>
      </c>
      <c r="B1097" s="1333"/>
      <c r="C1097" s="1334">
        <v>9</v>
      </c>
      <c r="D1097" s="1334"/>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591</v>
      </c>
      <c r="B1100" s="1333"/>
      <c r="C1100" s="1334">
        <v>10</v>
      </c>
      <c r="D1100" s="1334"/>
      <c r="E1100" s="1335" t="s">
        <v>2239</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591</v>
      </c>
      <c r="B1103" s="1333"/>
      <c r="C1103" s="1334">
        <v>11</v>
      </c>
      <c r="D1103" s="1334"/>
      <c r="E1103" s="1335" t="s">
        <v>2241</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591</v>
      </c>
      <c r="B1125" s="1333"/>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5" zoomScale="90" zoomScaleNormal="90" workbookViewId="0">
      <selection activeCell="C99" sqref="C99:E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1)Berkadia</v>
      </c>
      <c r="G2" s="139" t="str">
        <f>Application!B628&amp;Application!C628</f>
        <v>2)Safehold, Inc.</v>
      </c>
      <c r="H2" s="139" t="str">
        <f>Application!B629&amp;Application!C629</f>
        <v>3)Lease Up Income During Construction</v>
      </c>
      <c r="I2" s="139" t="str">
        <f>Application!B630&amp;Application!C630</f>
        <v>4)Cypress Equity Guarantor LLC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c r="E6" s="147">
        <f>B6</f>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2698</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42240000</v>
      </c>
      <c r="C30" s="147">
        <v>42240000</v>
      </c>
      <c r="D30" s="147"/>
      <c r="E30" s="147">
        <f>B30-SUM(F30:I30)</f>
        <v>7560443</v>
      </c>
      <c r="F30" s="147">
        <f>Application!AO627</f>
        <v>19839147</v>
      </c>
      <c r="G30" s="147">
        <f>Application!AO628-'Sources and Uses Budget'!G45</f>
        <v>11460765</v>
      </c>
      <c r="H30" s="147">
        <f>Application!AO629</f>
        <v>301461</v>
      </c>
      <c r="I30" s="147">
        <f>Application!AO630</f>
        <v>3078184</v>
      </c>
      <c r="J30" s="147"/>
      <c r="K30" s="147"/>
      <c r="L30" s="147"/>
      <c r="M30" s="147"/>
      <c r="N30" s="147"/>
      <c r="O30" s="147"/>
      <c r="P30" s="147"/>
      <c r="Q30" s="147"/>
      <c r="R30" s="516">
        <f t="shared" si="7"/>
        <v>42240000</v>
      </c>
      <c r="S30" s="147">
        <f>R30</f>
        <v>42240000</v>
      </c>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2699</v>
      </c>
      <c r="B37" s="146">
        <f t="shared" si="6"/>
        <v>305000</v>
      </c>
      <c r="C37" s="147">
        <f>200000+10000+50000+45000</f>
        <v>305000</v>
      </c>
      <c r="D37" s="147"/>
      <c r="E37" s="147">
        <f>B37</f>
        <v>305000</v>
      </c>
      <c r="F37" s="147"/>
      <c r="G37" s="147"/>
      <c r="H37" s="147"/>
      <c r="I37" s="147"/>
      <c r="J37" s="147"/>
      <c r="K37" s="147"/>
      <c r="L37" s="147"/>
      <c r="M37" s="147"/>
      <c r="N37" s="147"/>
      <c r="O37" s="147"/>
      <c r="P37" s="147"/>
      <c r="Q37" s="147"/>
      <c r="R37" s="516">
        <f t="shared" si="7"/>
        <v>305000</v>
      </c>
      <c r="S37" s="147">
        <f>R37</f>
        <v>305000</v>
      </c>
      <c r="T37" s="147"/>
      <c r="U37" s="143"/>
    </row>
    <row r="38" spans="1:21" s="144" customFormat="1">
      <c r="A38" s="149" t="s">
        <v>143</v>
      </c>
      <c r="B38" s="146">
        <f t="shared" si="6"/>
        <v>42545000</v>
      </c>
      <c r="C38" s="146">
        <f>SUM(C29:C37)</f>
        <v>42545000</v>
      </c>
      <c r="D38" s="146">
        <f t="shared" ref="D38:Q38" si="8">SUM(D29:D37)</f>
        <v>0</v>
      </c>
      <c r="E38" s="146">
        <f t="shared" si="8"/>
        <v>7865443</v>
      </c>
      <c r="F38" s="146">
        <f t="shared" si="8"/>
        <v>19839147</v>
      </c>
      <c r="G38" s="146">
        <f t="shared" si="8"/>
        <v>11460765</v>
      </c>
      <c r="H38" s="146">
        <f t="shared" si="8"/>
        <v>301461</v>
      </c>
      <c r="I38" s="146">
        <f t="shared" si="8"/>
        <v>3078184</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42545000</v>
      </c>
      <c r="S38" s="150">
        <f>SUM(S29:S37)</f>
        <v>42545000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2443961</v>
      </c>
      <c r="C40" s="147">
        <f>2273961+120000+50000</f>
        <v>2443961</v>
      </c>
      <c r="D40" s="147"/>
      <c r="E40" s="147">
        <f>B40</f>
        <v>2443961</v>
      </c>
      <c r="F40" s="147"/>
      <c r="G40" s="147"/>
      <c r="H40" s="147"/>
      <c r="I40" s="147"/>
      <c r="J40" s="147"/>
      <c r="K40" s="147"/>
      <c r="L40" s="147"/>
      <c r="M40" s="147"/>
      <c r="N40" s="147"/>
      <c r="O40" s="147"/>
      <c r="P40" s="147"/>
      <c r="Q40" s="147"/>
      <c r="R40" s="516">
        <f>SUM(E40:Q40)</f>
        <v>2443961</v>
      </c>
      <c r="S40" s="147">
        <f>R40</f>
        <v>2443961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2443961</v>
      </c>
      <c r="C42" s="146">
        <f>SUM(C39:C41)</f>
        <v>2443961</v>
      </c>
      <c r="D42" s="146">
        <f>SUM(D39:D41)</f>
        <v>0</v>
      </c>
      <c r="E42" s="146">
        <f t="shared" ref="E42:T42" si="9">SUM(E40:E41)</f>
        <v>2443961</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2443961</v>
      </c>
      <c r="S42" s="150">
        <f t="shared" si="9"/>
        <v>2443961</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3589731</v>
      </c>
      <c r="C45" s="147">
        <f>2490496+1099235</f>
        <v>3589731</v>
      </c>
      <c r="D45" s="147"/>
      <c r="E45" s="147">
        <f>B45-G45</f>
        <v>2490496</v>
      </c>
      <c r="F45" s="147"/>
      <c r="G45" s="147">
        <v>1099235</v>
      </c>
      <c r="H45" s="147"/>
      <c r="I45" s="147"/>
      <c r="J45" s="147"/>
      <c r="K45" s="147"/>
      <c r="L45" s="147"/>
      <c r="M45" s="147"/>
      <c r="N45" s="147"/>
      <c r="O45" s="147"/>
      <c r="P45" s="147"/>
      <c r="Q45" s="147"/>
      <c r="R45" s="516">
        <f t="shared" ref="R45:R53" si="11">SUM(E45:Q45)</f>
        <v>3589731</v>
      </c>
      <c r="S45" s="147">
        <f>G45+2076916</f>
        <v>3176151</v>
      </c>
      <c r="T45" s="147"/>
      <c r="U45" s="143"/>
    </row>
    <row r="46" spans="1:21" s="144" customFormat="1">
      <c r="A46" s="145" t="s">
        <v>151</v>
      </c>
      <c r="B46" s="146">
        <f t="shared" si="10"/>
        <v>345988</v>
      </c>
      <c r="C46" s="147">
        <v>345988</v>
      </c>
      <c r="D46" s="147"/>
      <c r="E46" s="147">
        <f>B46</f>
        <v>345988</v>
      </c>
      <c r="F46" s="147"/>
      <c r="G46" s="147"/>
      <c r="H46" s="147"/>
      <c r="I46" s="147"/>
      <c r="J46" s="147"/>
      <c r="K46" s="147"/>
      <c r="L46" s="147"/>
      <c r="M46" s="147"/>
      <c r="N46" s="147"/>
      <c r="O46" s="147"/>
      <c r="P46" s="147"/>
      <c r="Q46" s="147"/>
      <c r="R46" s="516">
        <f t="shared" si="11"/>
        <v>345988</v>
      </c>
      <c r="S46" s="147">
        <f>R46</f>
        <v>345988</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56118</v>
      </c>
      <c r="C49" s="147">
        <v>56118</v>
      </c>
      <c r="D49" s="147"/>
      <c r="E49" s="147">
        <f>B49</f>
        <v>56118</v>
      </c>
      <c r="F49" s="147"/>
      <c r="G49" s="147"/>
      <c r="H49" s="147"/>
      <c r="I49" s="147"/>
      <c r="J49" s="147"/>
      <c r="K49" s="147"/>
      <c r="L49" s="147"/>
      <c r="M49" s="147"/>
      <c r="N49" s="147"/>
      <c r="O49" s="147"/>
      <c r="P49" s="147"/>
      <c r="Q49" s="147"/>
      <c r="R49" s="516">
        <f t="shared" si="11"/>
        <v>56118</v>
      </c>
      <c r="S49" s="147"/>
      <c r="T49" s="147"/>
      <c r="U49" s="143"/>
    </row>
    <row r="50" spans="1:21" s="144" customFormat="1">
      <c r="A50" s="145" t="s">
        <v>156</v>
      </c>
      <c r="B50" s="146">
        <f t="shared" si="10"/>
        <v>50000</v>
      </c>
      <c r="C50" s="147">
        <v>50000</v>
      </c>
      <c r="D50" s="147"/>
      <c r="E50" s="147">
        <f>B50</f>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2341794</v>
      </c>
      <c r="C52" s="147">
        <v>2341794</v>
      </c>
      <c r="D52" s="147"/>
      <c r="E52" s="147">
        <f>B52</f>
        <v>2341794</v>
      </c>
      <c r="F52" s="147"/>
      <c r="G52" s="147"/>
      <c r="H52" s="147"/>
      <c r="I52" s="147"/>
      <c r="J52" s="147"/>
      <c r="K52" s="147"/>
      <c r="L52" s="147"/>
      <c r="M52" s="147"/>
      <c r="N52" s="147"/>
      <c r="O52" s="147"/>
      <c r="P52" s="147"/>
      <c r="Q52" s="147"/>
      <c r="R52" s="516">
        <f t="shared" si="11"/>
        <v>2341794</v>
      </c>
      <c r="S52" s="147">
        <f>R52</f>
        <v>2341794</v>
      </c>
      <c r="T52" s="147"/>
      <c r="U52" s="143"/>
    </row>
    <row r="53" spans="1:21" s="144" customFormat="1">
      <c r="A53" s="1149" t="s">
        <v>2701</v>
      </c>
      <c r="B53" s="146">
        <f t="shared" si="10"/>
        <v>500000</v>
      </c>
      <c r="C53" s="147">
        <v>500000</v>
      </c>
      <c r="D53" s="147"/>
      <c r="E53" s="147">
        <f>B53</f>
        <v>500000</v>
      </c>
      <c r="F53" s="147"/>
      <c r="G53" s="147"/>
      <c r="H53" s="147"/>
      <c r="I53" s="147"/>
      <c r="J53" s="147"/>
      <c r="K53" s="147"/>
      <c r="L53" s="147"/>
      <c r="M53" s="147"/>
      <c r="N53" s="147"/>
      <c r="O53" s="147"/>
      <c r="P53" s="147"/>
      <c r="Q53" s="147"/>
      <c r="R53" s="516">
        <f t="shared" si="11"/>
        <v>500000</v>
      </c>
      <c r="S53" s="147"/>
      <c r="T53" s="147"/>
      <c r="U53" s="143"/>
    </row>
    <row r="54" spans="1:21" s="153" customFormat="1">
      <c r="A54" s="149" t="s">
        <v>157</v>
      </c>
      <c r="B54" s="150">
        <f>SUM(C54:D54)</f>
        <v>6883631</v>
      </c>
      <c r="C54" s="150">
        <f t="shared" ref="C54:T54" si="12">SUM(C45:C53)</f>
        <v>6883631</v>
      </c>
      <c r="D54" s="150">
        <f t="shared" si="12"/>
        <v>0</v>
      </c>
      <c r="E54" s="150">
        <f t="shared" si="12"/>
        <v>5784396</v>
      </c>
      <c r="F54" s="150">
        <f t="shared" si="12"/>
        <v>0</v>
      </c>
      <c r="G54" s="150">
        <f t="shared" si="12"/>
        <v>1099235</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6883631</v>
      </c>
      <c r="S54" s="150">
        <f t="shared" si="12"/>
        <v>5913933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198391</v>
      </c>
      <c r="C56" s="147">
        <v>198391</v>
      </c>
      <c r="D56" s="147"/>
      <c r="E56" s="147">
        <f>B56</f>
        <v>198391</v>
      </c>
      <c r="F56" s="147"/>
      <c r="G56" s="147"/>
      <c r="H56" s="147"/>
      <c r="I56" s="147"/>
      <c r="J56" s="147"/>
      <c r="K56" s="147"/>
      <c r="L56" s="147"/>
      <c r="M56" s="147"/>
      <c r="N56" s="147"/>
      <c r="O56" s="147"/>
      <c r="P56" s="147"/>
      <c r="Q56" s="147"/>
      <c r="R56" s="516">
        <f t="shared" ref="R56:R61" si="14">SUM(E56:Q56)</f>
        <v>198391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2700</v>
      </c>
      <c r="B61" s="146">
        <f t="shared" si="13"/>
        <v>174196</v>
      </c>
      <c r="C61" s="147">
        <f>75000+(49598*2)</f>
        <v>174196</v>
      </c>
      <c r="D61" s="147"/>
      <c r="E61" s="147">
        <f>B61</f>
        <v>174196</v>
      </c>
      <c r="F61" s="147"/>
      <c r="G61" s="147"/>
      <c r="H61" s="147"/>
      <c r="I61" s="147"/>
      <c r="J61" s="147"/>
      <c r="K61" s="147"/>
      <c r="L61" s="147"/>
      <c r="M61" s="147"/>
      <c r="N61" s="147"/>
      <c r="O61" s="147"/>
      <c r="P61" s="147"/>
      <c r="Q61" s="147"/>
      <c r="R61" s="516">
        <f t="shared" si="14"/>
        <v>174196</v>
      </c>
      <c r="S61" s="148"/>
      <c r="T61" s="148"/>
      <c r="U61" s="143"/>
    </row>
    <row r="62" spans="1:21" s="144" customFormat="1" ht="13.7" customHeight="1">
      <c r="A62" s="149" t="s">
        <v>301</v>
      </c>
      <c r="B62" s="146">
        <f>SUM(C62:D62)</f>
        <v>372587</v>
      </c>
      <c r="C62" s="146">
        <f t="shared" ref="C62:R62" si="15">SUM(C56:C61)</f>
        <v>372587</v>
      </c>
      <c r="D62" s="146">
        <f t="shared" si="15"/>
        <v>0</v>
      </c>
      <c r="E62" s="146">
        <f t="shared" si="15"/>
        <v>372587</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372587</v>
      </c>
      <c r="S62" s="148"/>
      <c r="T62" s="148"/>
      <c r="U62" s="143"/>
    </row>
    <row r="63" spans="1:21" s="144" customFormat="1">
      <c r="A63" s="154" t="s">
        <v>302</v>
      </c>
      <c r="B63" s="146">
        <f t="shared" ref="B63:R63" si="16">SUM(B8+B11+B13+B14+B15+B26+B27+B38+B42+B43+B54+B62)</f>
        <v>52245179</v>
      </c>
      <c r="C63" s="146">
        <f t="shared" si="16"/>
        <v>52245179</v>
      </c>
      <c r="D63" s="146">
        <f t="shared" si="16"/>
        <v>0</v>
      </c>
      <c r="E63" s="146">
        <f t="shared" si="16"/>
        <v>16466387</v>
      </c>
      <c r="F63" s="146">
        <f t="shared" si="16"/>
        <v>19839147</v>
      </c>
      <c r="G63" s="146">
        <f t="shared" si="16"/>
        <v>12560000</v>
      </c>
      <c r="H63" s="146">
        <f t="shared" si="16"/>
        <v>301461</v>
      </c>
      <c r="I63" s="146">
        <f t="shared" si="16"/>
        <v>3078184</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52245179</v>
      </c>
      <c r="S63" s="146">
        <f>SUM(S10+S13+S14+S15+S26+S27+S38+S42+S43+S54)</f>
        <v>50902894</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15000</v>
      </c>
      <c r="C67" s="147">
        <v>15000</v>
      </c>
      <c r="D67" s="147"/>
      <c r="E67" s="147">
        <f>B67</f>
        <v>15000</v>
      </c>
      <c r="F67" s="147"/>
      <c r="G67" s="147"/>
      <c r="H67" s="147"/>
      <c r="I67" s="147"/>
      <c r="J67" s="147"/>
      <c r="K67" s="147"/>
      <c r="L67" s="147"/>
      <c r="M67" s="147"/>
      <c r="N67" s="147"/>
      <c r="O67" s="147"/>
      <c r="P67" s="147"/>
      <c r="Q67" s="147"/>
      <c r="R67" s="516">
        <f>SUM(E67:Q67)</f>
        <v>15000</v>
      </c>
      <c r="S67" s="147">
        <f>R67</f>
        <v>15000</v>
      </c>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2703</v>
      </c>
      <c r="B69" s="146">
        <f>SUM(C69+D69)</f>
        <v>195000</v>
      </c>
      <c r="C69" s="147">
        <v>195000</v>
      </c>
      <c r="D69" s="147"/>
      <c r="E69" s="147">
        <f>B69</f>
        <v>195000</v>
      </c>
      <c r="F69" s="147"/>
      <c r="G69" s="147"/>
      <c r="H69" s="147"/>
      <c r="I69" s="147"/>
      <c r="J69" s="147"/>
      <c r="K69" s="147"/>
      <c r="L69" s="147"/>
      <c r="M69" s="147"/>
      <c r="N69" s="147"/>
      <c r="O69" s="147"/>
      <c r="P69" s="147"/>
      <c r="Q69" s="147"/>
      <c r="R69" s="516">
        <f>SUM(E69:Q69)</f>
        <v>195000</v>
      </c>
      <c r="S69" s="147">
        <f>R69/2</f>
        <v>97500</v>
      </c>
      <c r="T69" s="147"/>
      <c r="U69" s="143"/>
    </row>
    <row r="70" spans="1:21" s="144" customFormat="1">
      <c r="A70" s="149" t="s">
        <v>1644</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210000</v>
      </c>
      <c r="S70" s="150">
        <f t="shared" si="17"/>
        <v>112500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746315</v>
      </c>
      <c r="C75" s="147">
        <f>170730+575585</f>
        <v>746315</v>
      </c>
      <c r="D75" s="147"/>
      <c r="E75" s="147">
        <f>B75</f>
        <v>746315</v>
      </c>
      <c r="F75" s="147"/>
      <c r="G75" s="147"/>
      <c r="H75" s="147"/>
      <c r="I75" s="147"/>
      <c r="J75" s="147"/>
      <c r="K75" s="147"/>
      <c r="L75" s="147"/>
      <c r="M75" s="147"/>
      <c r="N75" s="147"/>
      <c r="O75" s="147"/>
      <c r="P75" s="147"/>
      <c r="Q75" s="147"/>
      <c r="R75" s="516">
        <f>SUM(E75:Q75)</f>
        <v>746315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746315</v>
      </c>
      <c r="C77" s="146">
        <f>SUM(C72:C76)</f>
        <v>746315</v>
      </c>
      <c r="D77" s="146">
        <f>SUM(D72:D76)</f>
        <v>0</v>
      </c>
      <c r="E77" s="146">
        <f t="shared" ref="E77:Q77" si="18">SUM(E72:E76)</f>
        <v>746315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746315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2112000</v>
      </c>
      <c r="C79" s="147">
        <v>2112000</v>
      </c>
      <c r="D79" s="147"/>
      <c r="E79" s="147">
        <f>B79</f>
        <v>2112000</v>
      </c>
      <c r="F79" s="147"/>
      <c r="G79" s="147"/>
      <c r="H79" s="147"/>
      <c r="I79" s="147"/>
      <c r="J79" s="147"/>
      <c r="K79" s="147"/>
      <c r="L79" s="147"/>
      <c r="M79" s="147"/>
      <c r="N79" s="147"/>
      <c r="O79" s="147"/>
      <c r="P79" s="147"/>
      <c r="Q79" s="147"/>
      <c r="R79" s="516">
        <f>SUM(E79:Q79)</f>
        <v>2112000</v>
      </c>
      <c r="S79" s="147">
        <f>R79</f>
        <v>2112000</v>
      </c>
      <c r="T79" s="147"/>
      <c r="U79" s="143"/>
    </row>
    <row r="80" spans="1:21" s="144" customFormat="1">
      <c r="A80" s="283" t="s">
        <v>58</v>
      </c>
      <c r="B80" s="146">
        <f>SUM(C80:D80)</f>
        <v>1752738</v>
      </c>
      <c r="C80" s="147">
        <v>1752738</v>
      </c>
      <c r="D80" s="147"/>
      <c r="E80" s="147">
        <f>B80</f>
        <v>1752738</v>
      </c>
      <c r="F80" s="147"/>
      <c r="G80" s="147"/>
      <c r="H80" s="147"/>
      <c r="I80" s="147"/>
      <c r="J80" s="147"/>
      <c r="K80" s="147"/>
      <c r="L80" s="147"/>
      <c r="M80" s="147"/>
      <c r="N80" s="147"/>
      <c r="O80" s="147"/>
      <c r="P80" s="147"/>
      <c r="Q80" s="147"/>
      <c r="R80" s="516">
        <f>SUM(E80:Q80)</f>
        <v>1752738</v>
      </c>
      <c r="S80" s="147">
        <f>R80</f>
        <v>1752738</v>
      </c>
      <c r="T80" s="147"/>
      <c r="U80" s="143"/>
    </row>
    <row r="81" spans="1:21" s="144" customFormat="1">
      <c r="A81" s="149" t="s">
        <v>1208</v>
      </c>
      <c r="B81" s="146">
        <f>SUM(C81:D81)</f>
        <v>3864738</v>
      </c>
      <c r="C81" s="509">
        <f>SUM(C79:C80)</f>
        <v>3864738</v>
      </c>
      <c r="D81" s="509">
        <f t="shared" ref="D81:T81" si="19">SUM(D79:D80)</f>
        <v>0</v>
      </c>
      <c r="E81" s="509">
        <f t="shared" si="19"/>
        <v>3864738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3864738</v>
      </c>
      <c r="S81" s="509">
        <f t="shared" si="19"/>
        <v>3864738</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200000</v>
      </c>
      <c r="C83" s="147">
        <v>200000</v>
      </c>
      <c r="D83" s="147"/>
      <c r="E83" s="147">
        <f>B83</f>
        <v>200000</v>
      </c>
      <c r="F83" s="147"/>
      <c r="G83" s="147"/>
      <c r="H83" s="147"/>
      <c r="I83" s="147"/>
      <c r="J83" s="147"/>
      <c r="K83" s="147"/>
      <c r="L83" s="147"/>
      <c r="M83" s="147"/>
      <c r="N83" s="147"/>
      <c r="O83" s="147"/>
      <c r="P83" s="147"/>
      <c r="Q83" s="147"/>
      <c r="R83" s="516">
        <f t="shared" ref="R83:R95" si="21">SUM(E83:Q83)</f>
        <v>200000</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1586862</v>
      </c>
      <c r="C85" s="147">
        <v>1586862</v>
      </c>
      <c r="D85" s="147"/>
      <c r="E85" s="147">
        <f>B85</f>
        <v>1586862</v>
      </c>
      <c r="F85" s="147"/>
      <c r="G85" s="147"/>
      <c r="H85" s="147"/>
      <c r="I85" s="147"/>
      <c r="J85" s="147"/>
      <c r="K85" s="147"/>
      <c r="L85" s="147"/>
      <c r="M85" s="147"/>
      <c r="N85" s="147"/>
      <c r="O85" s="147"/>
      <c r="P85" s="147"/>
      <c r="Q85" s="147"/>
      <c r="R85" s="516">
        <f t="shared" si="21"/>
        <v>1586862</v>
      </c>
      <c r="S85" s="147">
        <f>R85</f>
        <v>1586862</v>
      </c>
      <c r="T85" s="147"/>
      <c r="U85" s="143"/>
    </row>
    <row r="86" spans="1:21" s="144" customFormat="1">
      <c r="A86" s="145" t="s">
        <v>769</v>
      </c>
      <c r="B86" s="146">
        <f t="shared" si="20"/>
        <v>4247134</v>
      </c>
      <c r="C86" s="147">
        <f>2190800+347393+288336+1420605</f>
        <v>4247134</v>
      </c>
      <c r="D86" s="147"/>
      <c r="E86" s="147">
        <f>B86</f>
        <v>4247134</v>
      </c>
      <c r="F86" s="147"/>
      <c r="G86" s="147"/>
      <c r="H86" s="147"/>
      <c r="I86" s="147"/>
      <c r="J86" s="147"/>
      <c r="K86" s="147"/>
      <c r="L86" s="147"/>
      <c r="M86" s="147"/>
      <c r="N86" s="147"/>
      <c r="O86" s="147"/>
      <c r="P86" s="147"/>
      <c r="Q86" s="147"/>
      <c r="R86" s="516">
        <f t="shared" si="21"/>
        <v>4247134</v>
      </c>
      <c r="S86" s="147">
        <f>R86</f>
        <v>4247134</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10000</v>
      </c>
      <c r="C88" s="147">
        <v>10000</v>
      </c>
      <c r="D88" s="147"/>
      <c r="E88" s="147">
        <f>B88</f>
        <v>10000</v>
      </c>
      <c r="F88" s="147"/>
      <c r="G88" s="147"/>
      <c r="H88" s="147"/>
      <c r="I88" s="147"/>
      <c r="J88" s="147"/>
      <c r="K88" s="147"/>
      <c r="L88" s="147"/>
      <c r="M88" s="147"/>
      <c r="N88" s="147"/>
      <c r="O88" s="147"/>
      <c r="P88" s="147"/>
      <c r="Q88" s="147"/>
      <c r="R88" s="516">
        <f t="shared" si="21"/>
        <v>10000</v>
      </c>
      <c r="S88" s="148"/>
      <c r="T88" s="148"/>
      <c r="U88" s="143"/>
    </row>
    <row r="89" spans="1:21" s="144" customFormat="1">
      <c r="A89" s="145" t="s">
        <v>772</v>
      </c>
      <c r="B89" s="146">
        <f t="shared" si="20"/>
        <v>132000</v>
      </c>
      <c r="C89" s="147">
        <v>132000</v>
      </c>
      <c r="D89" s="147"/>
      <c r="E89" s="147">
        <f>B89</f>
        <v>132000</v>
      </c>
      <c r="F89" s="147"/>
      <c r="G89" s="147"/>
      <c r="H89" s="147"/>
      <c r="I89" s="147"/>
      <c r="J89" s="147"/>
      <c r="K89" s="147"/>
      <c r="L89" s="147"/>
      <c r="M89" s="147"/>
      <c r="N89" s="147"/>
      <c r="O89" s="147"/>
      <c r="P89" s="147"/>
      <c r="Q89" s="147"/>
      <c r="R89" s="516">
        <f t="shared" si="21"/>
        <v>132000</v>
      </c>
      <c r="S89" s="147">
        <f>R89</f>
        <v>132000</v>
      </c>
      <c r="T89" s="147"/>
      <c r="U89" s="143"/>
    </row>
    <row r="90" spans="1:21" s="144" customFormat="1">
      <c r="A90" s="145" t="s">
        <v>773</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0</v>
      </c>
      <c r="C91" s="147">
        <v>0</v>
      </c>
      <c r="D91" s="147"/>
      <c r="E91" s="147">
        <f>B91</f>
        <v>0</v>
      </c>
      <c r="F91" s="147"/>
      <c r="G91" s="147"/>
      <c r="H91" s="147"/>
      <c r="I91" s="147"/>
      <c r="J91" s="147"/>
      <c r="K91" s="147"/>
      <c r="L91" s="147"/>
      <c r="M91" s="147"/>
      <c r="N91" s="147"/>
      <c r="O91" s="147"/>
      <c r="P91" s="147"/>
      <c r="Q91" s="147"/>
      <c r="R91" s="516">
        <f t="shared" si="21"/>
        <v>0</v>
      </c>
      <c r="S91" s="147"/>
      <c r="T91" s="147"/>
      <c r="U91" s="143"/>
    </row>
    <row r="92" spans="1:21" s="144" customFormat="1">
      <c r="A92" s="283" t="s">
        <v>1210</v>
      </c>
      <c r="B92" s="146">
        <f t="shared" si="20"/>
        <v>15000</v>
      </c>
      <c r="C92" s="147">
        <v>15000</v>
      </c>
      <c r="D92" s="147"/>
      <c r="E92" s="147">
        <f>B92</f>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2704</v>
      </c>
      <c r="B93" s="146">
        <f t="shared" si="20"/>
        <v>90000</v>
      </c>
      <c r="C93" s="147">
        <f>55000+35000</f>
        <v>90000</v>
      </c>
      <c r="D93" s="147"/>
      <c r="E93" s="147">
        <f>B93</f>
        <v>90000</v>
      </c>
      <c r="F93" s="147"/>
      <c r="G93" s="147"/>
      <c r="H93" s="147"/>
      <c r="I93" s="147"/>
      <c r="J93" s="147"/>
      <c r="K93" s="147"/>
      <c r="L93" s="147"/>
      <c r="M93" s="147"/>
      <c r="N93" s="147"/>
      <c r="O93" s="147"/>
      <c r="P93" s="147"/>
      <c r="Q93" s="147"/>
      <c r="R93" s="516">
        <f t="shared" si="21"/>
        <v>90000</v>
      </c>
      <c r="S93" s="147">
        <v>35000</v>
      </c>
      <c r="T93" s="147"/>
      <c r="U93" s="143"/>
    </row>
    <row r="94" spans="1:21" s="144" customFormat="1">
      <c r="A94" s="1149" t="s">
        <v>2710</v>
      </c>
      <c r="B94" s="146">
        <f t="shared" si="20"/>
        <v>100000</v>
      </c>
      <c r="C94" s="147">
        <v>100000</v>
      </c>
      <c r="D94" s="147"/>
      <c r="E94" s="147">
        <f>B94</f>
        <v>100000</v>
      </c>
      <c r="F94" s="147"/>
      <c r="G94" s="147"/>
      <c r="H94" s="147"/>
      <c r="I94" s="147"/>
      <c r="J94" s="147"/>
      <c r="K94" s="147"/>
      <c r="L94" s="147"/>
      <c r="M94" s="147"/>
      <c r="N94" s="147"/>
      <c r="O94" s="147"/>
      <c r="P94" s="147"/>
      <c r="Q94" s="147"/>
      <c r="R94" s="516">
        <f t="shared" si="21"/>
        <v>100000</v>
      </c>
      <c r="S94" s="147">
        <v>0</v>
      </c>
      <c r="T94" s="147"/>
      <c r="U94" s="143"/>
    </row>
    <row r="95" spans="1:21" s="144" customFormat="1">
      <c r="A95" s="1149" t="s">
        <v>2702</v>
      </c>
      <c r="B95" s="146">
        <f t="shared" si="20"/>
        <v>100000</v>
      </c>
      <c r="C95" s="147">
        <v>100000</v>
      </c>
      <c r="D95" s="147"/>
      <c r="E95" s="147">
        <f>B95</f>
        <v>100000</v>
      </c>
      <c r="F95" s="147"/>
      <c r="G95" s="147"/>
      <c r="H95" s="147"/>
      <c r="I95" s="147"/>
      <c r="J95" s="147"/>
      <c r="K95" s="147"/>
      <c r="L95" s="147"/>
      <c r="M95" s="147"/>
      <c r="N95" s="147"/>
      <c r="O95" s="147"/>
      <c r="P95" s="147"/>
      <c r="Q95" s="147"/>
      <c r="R95" s="516">
        <f t="shared" si="21"/>
        <v>100000</v>
      </c>
      <c r="S95" s="147">
        <f>R95</f>
        <v>100000</v>
      </c>
      <c r="T95" s="147"/>
      <c r="U95" s="143"/>
    </row>
    <row r="96" spans="1:21" s="144" customFormat="1">
      <c r="A96" s="149" t="s">
        <v>774</v>
      </c>
      <c r="B96" s="146">
        <f>SUM(C96:D96)</f>
        <v>6480996</v>
      </c>
      <c r="C96" s="146">
        <f t="shared" ref="C96:R96" si="22">SUM(C83:C95)</f>
        <v>6480996</v>
      </c>
      <c r="D96" s="146">
        <f t="shared" si="22"/>
        <v>0</v>
      </c>
      <c r="E96" s="146">
        <f t="shared" si="22"/>
        <v>6480996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6480996</v>
      </c>
      <c r="S96" s="150">
        <f>SUM(S84:S87,S89:S95)</f>
        <v>6115996</v>
      </c>
      <c r="T96" s="146">
        <f>SUM(T84:T87,T89:T95)</f>
        <v>0</v>
      </c>
      <c r="U96" s="143"/>
    </row>
    <row r="97" spans="1:21" s="144" customFormat="1">
      <c r="A97" s="149" t="s">
        <v>775</v>
      </c>
      <c r="B97" s="146">
        <f>SUM(C97:D97)</f>
        <v>63547228</v>
      </c>
      <c r="C97" s="146">
        <f t="shared" ref="C97:R97" si="23">SUM(C63+C70+C77+C81+C96)</f>
        <v>63547228</v>
      </c>
      <c r="D97" s="146">
        <f t="shared" si="23"/>
        <v>0</v>
      </c>
      <c r="E97" s="146">
        <f t="shared" si="23"/>
        <v>27768436</v>
      </c>
      <c r="F97" s="146">
        <f t="shared" si="23"/>
        <v>19839147</v>
      </c>
      <c r="G97" s="146">
        <f t="shared" si="23"/>
        <v>12560000</v>
      </c>
      <c r="H97" s="146">
        <f t="shared" si="23"/>
        <v>301461</v>
      </c>
      <c r="I97" s="146">
        <f t="shared" si="23"/>
        <v>3078184</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63547228</v>
      </c>
      <c r="S97" s="146">
        <f>SUM(S63+S70+S81+S96)</f>
        <v>60996128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9149419</v>
      </c>
      <c r="C99" s="979">
        <v>9149419</v>
      </c>
      <c r="D99" s="979"/>
      <c r="E99" s="979">
        <v>3716473</v>
      </c>
      <c r="F99" s="147"/>
      <c r="G99" s="147"/>
      <c r="H99" s="147"/>
      <c r="I99" s="147"/>
      <c r="J99" s="147">
        <f>Application!AO631</f>
        <v>5432946</v>
      </c>
      <c r="K99" s="147"/>
      <c r="L99" s="147"/>
      <c r="M99" s="147"/>
      <c r="N99" s="147"/>
      <c r="O99" s="147"/>
      <c r="P99" s="147"/>
      <c r="Q99" s="147"/>
      <c r="R99" s="516">
        <f>SUM(E99:Q99)</f>
        <v>9149419</v>
      </c>
      <c r="S99" s="147">
        <f>R99</f>
        <v>9149419</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9149419</v>
      </c>
      <c r="C104" s="146">
        <f>SUM(C99:C103)</f>
        <v>9149419</v>
      </c>
      <c r="D104" s="146">
        <f t="shared" ref="D104:T104" si="24">SUM(D99:D103)</f>
        <v>0</v>
      </c>
      <c r="E104" s="146">
        <f t="shared" si="24"/>
        <v>3716473</v>
      </c>
      <c r="F104" s="146">
        <f t="shared" si="24"/>
        <v>0</v>
      </c>
      <c r="G104" s="146">
        <f t="shared" si="24"/>
        <v>0</v>
      </c>
      <c r="H104" s="146">
        <f t="shared" si="24"/>
        <v>0</v>
      </c>
      <c r="I104" s="146">
        <f t="shared" si="24"/>
        <v>0</v>
      </c>
      <c r="J104" s="146">
        <f t="shared" si="24"/>
        <v>5432946</v>
      </c>
      <c r="K104" s="146">
        <f t="shared" si="24"/>
        <v>0</v>
      </c>
      <c r="L104" s="146">
        <f t="shared" si="24"/>
        <v>0</v>
      </c>
      <c r="M104" s="146">
        <f t="shared" si="24"/>
        <v>0</v>
      </c>
      <c r="N104" s="146">
        <f t="shared" si="24"/>
        <v>0</v>
      </c>
      <c r="O104" s="146">
        <f t="shared" si="24"/>
        <v>0</v>
      </c>
      <c r="P104" s="146">
        <f t="shared" si="24"/>
        <v>0</v>
      </c>
      <c r="Q104" s="146">
        <f t="shared" si="24"/>
        <v>0</v>
      </c>
      <c r="R104" s="342">
        <f t="shared" si="24"/>
        <v>9149419</v>
      </c>
      <c r="S104" s="150">
        <f t="shared" si="24"/>
        <v>9149419</v>
      </c>
      <c r="T104" s="150">
        <f t="shared" si="24"/>
        <v>0</v>
      </c>
      <c r="U104" s="143"/>
    </row>
    <row r="105" spans="1:21" s="144" customFormat="1">
      <c r="A105" s="149" t="s">
        <v>780</v>
      </c>
      <c r="B105" s="150">
        <f>SUM(C105:D105)</f>
        <v>72696647</v>
      </c>
      <c r="C105" s="150">
        <f t="shared" ref="C105:R105" si="25">SUM(C97+C104)</f>
        <v>72696647</v>
      </c>
      <c r="D105" s="150">
        <f t="shared" si="25"/>
        <v>0</v>
      </c>
      <c r="E105" s="150">
        <f t="shared" si="25"/>
        <v>31484909</v>
      </c>
      <c r="F105" s="150">
        <f t="shared" si="25"/>
        <v>19839147</v>
      </c>
      <c r="G105" s="150">
        <f t="shared" si="25"/>
        <v>12560000</v>
      </c>
      <c r="H105" s="150">
        <f t="shared" si="25"/>
        <v>301461</v>
      </c>
      <c r="I105" s="150">
        <f t="shared" si="25"/>
        <v>3078184</v>
      </c>
      <c r="J105" s="150">
        <f t="shared" si="25"/>
        <v>5432946</v>
      </c>
      <c r="K105" s="150">
        <f t="shared" si="25"/>
        <v>0</v>
      </c>
      <c r="L105" s="150">
        <f t="shared" si="25"/>
        <v>0</v>
      </c>
      <c r="M105" s="150">
        <f t="shared" si="25"/>
        <v>0</v>
      </c>
      <c r="N105" s="150">
        <f t="shared" si="25"/>
        <v>0</v>
      </c>
      <c r="O105" s="150">
        <f t="shared" si="25"/>
        <v>0</v>
      </c>
      <c r="P105" s="150">
        <f t="shared" si="25"/>
        <v>0</v>
      </c>
      <c r="Q105" s="150">
        <f t="shared" si="25"/>
        <v>0</v>
      </c>
      <c r="R105" s="342">
        <f t="shared" si="25"/>
        <v>72696647</v>
      </c>
      <c r="S105" s="150">
        <f>S97+S104</f>
        <v>70145547</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70145547</v>
      </c>
      <c r="T107" s="150">
        <f>T105+T106</f>
        <v>0</v>
      </c>
    </row>
    <row r="108" spans="1:21" s="189" customFormat="1">
      <c r="A108" s="162" t="s">
        <v>879</v>
      </c>
      <c r="B108" s="157"/>
      <c r="C108" s="157"/>
      <c r="D108" s="157"/>
      <c r="E108" s="301">
        <f>Application!AO640</f>
        <v>31484909</v>
      </c>
      <c r="F108" s="301">
        <f>Application!AO627</f>
        <v>19839147</v>
      </c>
      <c r="G108" s="301">
        <f>Application!AO628</f>
        <v>12560000</v>
      </c>
      <c r="H108" s="301">
        <f>Application!AO629</f>
        <v>301461</v>
      </c>
      <c r="I108" s="301">
        <f>Application!AO630</f>
        <v>3078184</v>
      </c>
      <c r="J108" s="301">
        <f>Application!AO631</f>
        <v>5432946</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0" t="s">
        <v>1223</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991</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992</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1003</v>
      </c>
      <c r="B139" s="1869"/>
      <c r="C139" s="1869"/>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1226</v>
      </c>
      <c r="B1" s="1876"/>
      <c r="C1" s="1876"/>
      <c r="D1" s="1876"/>
      <c r="E1" s="1876"/>
      <c r="F1" s="1876"/>
      <c r="G1" s="1876"/>
      <c r="H1" s="1876"/>
      <c r="I1" s="1876"/>
      <c r="J1" s="187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Owners Hard Cost</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42240000</v>
      </c>
      <c r="C30" s="362"/>
      <c r="D30" s="362"/>
      <c r="E30" s="361">
        <f>'Sources and Uses Budget'!S30</f>
        <v>42240000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Utility Work</v>
      </c>
      <c r="B37" s="361">
        <f>'Sources and Uses Budget'!C37</f>
        <v>305000</v>
      </c>
      <c r="C37" s="362"/>
      <c r="D37" s="362"/>
      <c r="E37" s="361">
        <f>'Sources and Uses Budget'!S37</f>
        <v>305000</v>
      </c>
      <c r="F37" s="362"/>
      <c r="G37" s="362"/>
      <c r="H37" s="361">
        <f>'Sources and Uses Budget'!T37</f>
        <v>0</v>
      </c>
      <c r="I37" s="362"/>
      <c r="J37" s="362"/>
      <c r="K37" s="359"/>
    </row>
    <row r="38" spans="1:11" s="360" customFormat="1">
      <c r="A38" s="365" t="s">
        <v>143</v>
      </c>
      <c r="B38" s="361">
        <f>'Sources and Uses Budget'!C38</f>
        <v>42545000</v>
      </c>
      <c r="C38" s="361">
        <f>SUM(C29:C37)</f>
        <v>0</v>
      </c>
      <c r="D38" s="361">
        <f>SUM(D29:D37)</f>
        <v>0</v>
      </c>
      <c r="E38" s="361">
        <f>'Sources and Uses Budget'!S38</f>
        <v>42545000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2443961</v>
      </c>
      <c r="C40" s="362"/>
      <c r="D40" s="362"/>
      <c r="E40" s="361">
        <f>'Sources and Uses Budget'!S40</f>
        <v>2443961</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2443961</v>
      </c>
      <c r="C42" s="361">
        <f>SUM(C39:C41)</f>
        <v>0</v>
      </c>
      <c r="D42" s="361">
        <f>SUM(D39:D41)</f>
        <v>0</v>
      </c>
      <c r="E42" s="361">
        <f>'Sources and Uses Budget'!S42</f>
        <v>2443961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3589731</v>
      </c>
      <c r="C45" s="362"/>
      <c r="D45" s="362"/>
      <c r="E45" s="361">
        <f>'Sources and Uses Budget'!S45</f>
        <v>3176151</v>
      </c>
      <c r="F45" s="362"/>
      <c r="G45" s="362"/>
      <c r="H45" s="361">
        <f>'Sources and Uses Budget'!T45</f>
        <v>0</v>
      </c>
      <c r="I45" s="362"/>
      <c r="J45" s="362"/>
      <c r="K45" s="359"/>
    </row>
    <row r="46" spans="1:11" s="360" customFormat="1">
      <c r="A46" s="364" t="s">
        <v>151</v>
      </c>
      <c r="B46" s="361">
        <f>'Sources and Uses Budget'!C46</f>
        <v>345988</v>
      </c>
      <c r="C46" s="362"/>
      <c r="D46" s="362"/>
      <c r="E46" s="361">
        <f>'Sources and Uses Budget'!S46</f>
        <v>345988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56118</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2341794</v>
      </c>
      <c r="C52" s="362"/>
      <c r="D52" s="362"/>
      <c r="E52" s="361">
        <f>'Sources and Uses Budget'!S52</f>
        <v>2341794</v>
      </c>
      <c r="F52" s="362"/>
      <c r="G52" s="362"/>
      <c r="H52" s="361">
        <f>'Sources and Uses Budget'!T52</f>
        <v>0</v>
      </c>
      <c r="I52" s="362"/>
      <c r="J52" s="362"/>
      <c r="K52" s="359"/>
    </row>
    <row r="53" spans="1:11" s="360" customFormat="1">
      <c r="A53" s="364" t="str">
        <f>'Sources and Uses Budget'!$A53</f>
        <v>Other: Bond Underwriting Fees</v>
      </c>
      <c r="B53" s="361">
        <f>'Sources and Uses Budget'!C53</f>
        <v>500000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6883631</v>
      </c>
      <c r="C54" s="367">
        <f>SUM(C45:C53)</f>
        <v>0</v>
      </c>
      <c r="D54" s="367">
        <f>SUM(D45:D53)</f>
        <v>0</v>
      </c>
      <c r="E54" s="361">
        <f>'Sources and Uses Budget'!S54</f>
        <v>5913933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198391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Loan Closing Costs</v>
      </c>
      <c r="B61" s="361">
        <f>'Sources and Uses Budget'!C61</f>
        <v>174196</v>
      </c>
      <c r="C61" s="362"/>
      <c r="D61" s="362"/>
      <c r="E61" s="363"/>
      <c r="F61" s="363"/>
      <c r="G61" s="363"/>
      <c r="H61" s="363"/>
      <c r="I61" s="363"/>
      <c r="J61" s="363"/>
      <c r="K61" s="359"/>
    </row>
    <row r="62" spans="1:11" s="360" customFormat="1" ht="13.7" customHeight="1">
      <c r="A62" s="365" t="s">
        <v>301</v>
      </c>
      <c r="B62" s="361">
        <f>'Sources and Uses Budget'!C62</f>
        <v>372587</v>
      </c>
      <c r="C62" s="361">
        <f>SUM(C56:C61)</f>
        <v>0</v>
      </c>
      <c r="D62" s="361">
        <f>SUM(D56:D61)</f>
        <v>0</v>
      </c>
      <c r="E62" s="363"/>
      <c r="F62" s="363"/>
      <c r="G62" s="363"/>
      <c r="H62" s="363"/>
      <c r="I62" s="363"/>
      <c r="J62" s="363"/>
      <c r="K62" s="359"/>
    </row>
    <row r="63" spans="1:11" s="360" customFormat="1">
      <c r="A63" s="370" t="s">
        <v>302</v>
      </c>
      <c r="B63" s="361">
        <f>'Sources and Uses Budget'!C63</f>
        <v>52245179</v>
      </c>
      <c r="C63" s="361">
        <f>SUM(C8+C11+C13+C14+C15+C26+C27+C38+C42+C43+C54+C62)</f>
        <v>0</v>
      </c>
      <c r="D63" s="361">
        <f>SUM(D8+D11+D13+D14+D15+D26+D27+D38+D42+D43+D54+D62)</f>
        <v>0</v>
      </c>
      <c r="E63" s="361">
        <f>'Sources and Uses Budget'!S63</f>
        <v>50902894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15000</v>
      </c>
      <c r="C67" s="362"/>
      <c r="D67" s="362"/>
      <c r="E67" s="361">
        <f>'Sources and Uses Budget'!S67</f>
        <v>15000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195000</v>
      </c>
      <c r="C69" s="362"/>
      <c r="D69" s="362"/>
      <c r="E69" s="361">
        <f>'Sources and Uses Budget'!S69</f>
        <v>97500</v>
      </c>
      <c r="F69" s="362"/>
      <c r="G69" s="362"/>
      <c r="H69" s="361">
        <f>'Sources and Uses Budget'!T69</f>
        <v>0</v>
      </c>
      <c r="I69" s="362"/>
      <c r="J69" s="362"/>
      <c r="K69" s="359"/>
    </row>
    <row r="70" spans="1:11" s="360" customFormat="1">
      <c r="A70" s="365" t="s">
        <v>601</v>
      </c>
      <c r="B70" s="361">
        <f>'Sources and Uses Budget'!C70</f>
        <v>210000</v>
      </c>
      <c r="C70" s="361">
        <f>SUM(C64:C69)</f>
        <v>0</v>
      </c>
      <c r="D70" s="361">
        <f>SUM(D64:D69)</f>
        <v>0</v>
      </c>
      <c r="E70" s="361">
        <f>'Sources and Uses Budget'!S70</f>
        <v>112500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746315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746315</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2112000</v>
      </c>
      <c r="C79" s="362"/>
      <c r="D79" s="362"/>
      <c r="E79" s="361">
        <f>'Sources and Uses Budget'!S79</f>
        <v>2112000</v>
      </c>
      <c r="F79" s="362"/>
      <c r="G79" s="362"/>
      <c r="H79" s="361">
        <f>'Sources and Uses Budget'!T79</f>
        <v>0</v>
      </c>
      <c r="I79" s="362"/>
      <c r="J79" s="362"/>
      <c r="K79" s="359"/>
    </row>
    <row r="80" spans="1:11" s="360" customFormat="1">
      <c r="A80" s="364" t="s">
        <v>58</v>
      </c>
      <c r="B80" s="361">
        <f>'Sources and Uses Budget'!C80</f>
        <v>1752738</v>
      </c>
      <c r="C80" s="362"/>
      <c r="D80" s="362"/>
      <c r="E80" s="361">
        <f>'Sources and Uses Budget'!S80</f>
        <v>1752738</v>
      </c>
      <c r="F80" s="362"/>
      <c r="G80" s="362"/>
      <c r="H80" s="361">
        <f>'Sources and Uses Budget'!T80</f>
        <v>0</v>
      </c>
      <c r="I80" s="362"/>
      <c r="J80" s="362"/>
      <c r="K80" s="359"/>
    </row>
    <row r="81" spans="1:11" s="360" customFormat="1">
      <c r="A81" s="365" t="s">
        <v>1208</v>
      </c>
      <c r="B81" s="361">
        <f>'Sources and Uses Budget'!C81</f>
        <v>3864738</v>
      </c>
      <c r="C81" s="361">
        <f>SUM(C79:C80)</f>
        <v>0</v>
      </c>
      <c r="D81" s="361">
        <f>SUM(D79:D80)</f>
        <v>0</v>
      </c>
      <c r="E81" s="361">
        <f>'Sources and Uses Budget'!S81</f>
        <v>3864738</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200000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1586862</v>
      </c>
      <c r="C85" s="362"/>
      <c r="D85" s="362"/>
      <c r="E85" s="361">
        <f>'Sources and Uses Budget'!S85</f>
        <v>1586862</v>
      </c>
      <c r="F85" s="362"/>
      <c r="G85" s="362"/>
      <c r="H85" s="361">
        <f>'Sources and Uses Budget'!T85</f>
        <v>0</v>
      </c>
      <c r="I85" s="362"/>
      <c r="J85" s="362"/>
      <c r="K85" s="359"/>
    </row>
    <row r="86" spans="1:11" s="360" customFormat="1">
      <c r="A86" s="145" t="s">
        <v>769</v>
      </c>
      <c r="B86" s="361">
        <f>'Sources and Uses Budget'!C86</f>
        <v>4247134</v>
      </c>
      <c r="C86" s="362"/>
      <c r="D86" s="362"/>
      <c r="E86" s="361">
        <f>'Sources and Uses Budget'!S86</f>
        <v>4247134</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10000</v>
      </c>
      <c r="C88" s="362"/>
      <c r="D88" s="362"/>
      <c r="E88" s="363"/>
      <c r="F88" s="363"/>
      <c r="G88" s="363"/>
      <c r="H88" s="363"/>
      <c r="I88" s="363"/>
      <c r="J88" s="363"/>
      <c r="K88" s="359"/>
    </row>
    <row r="89" spans="1:11" s="360" customFormat="1">
      <c r="A89" s="145" t="s">
        <v>772</v>
      </c>
      <c r="B89" s="361">
        <f>'Sources and Uses Budget'!C89</f>
        <v>132000</v>
      </c>
      <c r="C89" s="362"/>
      <c r="D89" s="362"/>
      <c r="E89" s="361">
        <f>'Sources and Uses Budget'!S89</f>
        <v>132000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Lender Monthly Draw Fees</v>
      </c>
      <c r="B93" s="361">
        <f>'Sources and Uses Budget'!C93</f>
        <v>90000</v>
      </c>
      <c r="C93" s="362"/>
      <c r="D93" s="362"/>
      <c r="E93" s="361">
        <f>'Sources and Uses Budget'!S93</f>
        <v>35000</v>
      </c>
      <c r="F93" s="362"/>
      <c r="G93" s="362"/>
      <c r="H93" s="361">
        <f>'Sources and Uses Budget'!T93</f>
        <v>0</v>
      </c>
      <c r="I93" s="362"/>
      <c r="J93" s="362"/>
      <c r="K93" s="359"/>
    </row>
    <row r="94" spans="1:11" s="360" customFormat="1">
      <c r="A94" s="364" t="str">
        <f>'Sources and Uses Budget'!$A94</f>
        <v>Other: Original Acquisition Legal</v>
      </c>
      <c r="B94" s="361">
        <f>'Sources and Uses Budget'!C94</f>
        <v>100000</v>
      </c>
      <c r="C94" s="362"/>
      <c r="D94" s="362"/>
      <c r="E94" s="361">
        <f>'Sources and Uses Budget'!S94</f>
        <v>0</v>
      </c>
      <c r="F94" s="362"/>
      <c r="G94" s="362"/>
      <c r="H94" s="361">
        <f>'Sources and Uses Budget'!T94</f>
        <v>0</v>
      </c>
      <c r="I94" s="362"/>
      <c r="J94" s="362"/>
      <c r="K94" s="359"/>
    </row>
    <row r="95" spans="1:11" s="360" customFormat="1">
      <c r="A95" s="364" t="str">
        <f>'Sources and Uses Budget'!$A95</f>
        <v>Other: Security During Construction</v>
      </c>
      <c r="B95" s="361">
        <f>'Sources and Uses Budget'!C95</f>
        <v>100000</v>
      </c>
      <c r="C95" s="362"/>
      <c r="D95" s="362"/>
      <c r="E95" s="361">
        <f>'Sources and Uses Budget'!S95</f>
        <v>100000</v>
      </c>
      <c r="F95" s="362"/>
      <c r="G95" s="362"/>
      <c r="H95" s="361">
        <f>'Sources and Uses Budget'!T95</f>
        <v>0</v>
      </c>
      <c r="I95" s="362"/>
      <c r="J95" s="362"/>
      <c r="K95" s="359"/>
    </row>
    <row r="96" spans="1:11" s="360" customFormat="1">
      <c r="A96" s="365" t="s">
        <v>774</v>
      </c>
      <c r="B96" s="361">
        <f>'Sources and Uses Budget'!C96</f>
        <v>6480996</v>
      </c>
      <c r="C96" s="361">
        <f>SUM(C83:C95)</f>
        <v>0</v>
      </c>
      <c r="D96" s="361">
        <f>SUM(D83:D95)</f>
        <v>0</v>
      </c>
      <c r="E96" s="361">
        <f>'Sources and Uses Budget'!S96</f>
        <v>6115996</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63547228</v>
      </c>
      <c r="C97" s="361">
        <f>SUM(C63+C70+C77+C81+C96)</f>
        <v>0</v>
      </c>
      <c r="D97" s="361">
        <f>SUM(D63+D70+D77+D81+D96)</f>
        <v>0</v>
      </c>
      <c r="E97" s="361">
        <f>'Sources and Uses Budget'!S97</f>
        <v>60996128</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9149419</v>
      </c>
      <c r="C99" s="362"/>
      <c r="D99" s="362"/>
      <c r="E99" s="361">
        <f>'Sources and Uses Budget'!S99</f>
        <v>9149419</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9149419</v>
      </c>
      <c r="C104" s="361">
        <f>SUM(C99:C103)</f>
        <v>0</v>
      </c>
      <c r="D104" s="361">
        <f>SUM(D99:D103)</f>
        <v>0</v>
      </c>
      <c r="E104" s="361">
        <f>'Sources and Uses Budget'!S104</f>
        <v>9149419</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72696647</v>
      </c>
      <c r="C105" s="367">
        <f>SUM(C97+C104)</f>
        <v>0</v>
      </c>
      <c r="D105" s="367">
        <f>SUM(D97+D104)</f>
        <v>0</v>
      </c>
      <c r="E105" s="361">
        <f>'Sources and Uses Budget'!S105</f>
        <v>70145547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70145547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2457</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2456</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Antioch Hillcrest</v>
      </c>
      <c r="M4" s="2316"/>
      <c r="N4" s="2316"/>
      <c r="O4" s="2316"/>
      <c r="P4" s="2316"/>
      <c r="Q4" s="2316"/>
      <c r="R4" s="2316"/>
      <c r="S4" s="2316"/>
      <c r="T4" s="2316"/>
      <c r="U4" s="2316"/>
      <c r="V4" s="2316"/>
      <c r="W4" s="2316"/>
      <c r="X4" s="2316"/>
      <c r="Y4" s="2316"/>
      <c r="Z4" s="2316"/>
      <c r="AA4" s="2316"/>
      <c r="AB4" s="2316"/>
      <c r="AC4" s="2317"/>
      <c r="AD4" s="1190"/>
      <c r="AE4" s="1190"/>
      <c r="AF4" s="2311" t="s">
        <v>2455</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2454</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5" t="str">
        <f>IF(Application!H16="","",Application!H16)</f>
        <v>Hillcrest Antioch LP</v>
      </c>
      <c r="M6" s="2316"/>
      <c r="N6" s="2316"/>
      <c r="O6" s="2316"/>
      <c r="P6" s="2316"/>
      <c r="Q6" s="2316"/>
      <c r="R6" s="2316"/>
      <c r="S6" s="2316"/>
      <c r="T6" s="2316"/>
      <c r="U6" s="2316"/>
      <c r="V6" s="2316"/>
      <c r="W6" s="2316"/>
      <c r="X6" s="2316"/>
      <c r="Y6" s="2316"/>
      <c r="Z6" s="2316"/>
      <c r="AA6" s="2316"/>
      <c r="AB6" s="2316"/>
      <c r="AC6" s="2317"/>
      <c r="AD6" s="1190"/>
      <c r="AE6" s="1190"/>
      <c r="AF6" s="2318" t="s">
        <v>2452</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2451</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2449</v>
      </c>
      <c r="AG8" s="2318"/>
      <c r="AH8" s="2318"/>
      <c r="AI8" s="2318"/>
      <c r="AJ8" s="2318"/>
      <c r="AK8" s="2318"/>
      <c r="AL8" s="2318"/>
      <c r="AM8" s="2318"/>
      <c r="AN8" s="2318"/>
      <c r="AO8" s="2318"/>
      <c r="AP8" s="2319" t="s">
        <v>2098</v>
      </c>
      <c r="AQ8" s="2319"/>
      <c r="AR8" s="2319"/>
      <c r="AS8" s="2319"/>
      <c r="AT8" s="2319"/>
      <c r="AU8" s="231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2448</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4">
        <f>Application!AO627</f>
        <v>19839147</v>
      </c>
      <c r="O10" s="2314"/>
      <c r="P10" s="2314"/>
      <c r="Q10" s="2314"/>
      <c r="R10" s="2314"/>
      <c r="S10" s="2314"/>
      <c r="T10" s="2314"/>
      <c r="U10" s="1190"/>
      <c r="V10" s="1190"/>
      <c r="W10" s="1190"/>
      <c r="X10" s="1193"/>
      <c r="Y10" s="1193"/>
      <c r="Z10" s="1193"/>
      <c r="AA10" s="1193"/>
      <c r="AB10" s="1193"/>
      <c r="AC10" s="1193"/>
      <c r="AD10" s="1193"/>
      <c r="AE10" s="1193"/>
      <c r="AF10" s="2311" t="s">
        <v>2445</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2442</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2" t="s">
        <v>2440</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2439</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2437</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2436</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2435</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2434</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2433</v>
      </c>
      <c r="C18" s="2296"/>
      <c r="D18" s="2296"/>
      <c r="E18" s="2296"/>
      <c r="F18" s="2296"/>
      <c r="G18" s="2296"/>
      <c r="H18" s="2296"/>
      <c r="I18" s="2297"/>
      <c r="J18" s="2298" t="s">
        <v>1585</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2432</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17</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7</v>
      </c>
      <c r="W19" s="2285"/>
      <c r="X19" s="2285"/>
      <c r="Y19" s="2285"/>
      <c r="Z19" s="2285"/>
      <c r="AA19" s="2286"/>
      <c r="AB19" s="2284" cm="1">
        <f t="array" ref="AB19">SUMPRODUCT((Application!$B$714:$B$738 = 'CalHFA Addendum'!AB$18)*(Application!$AC$714:$AC$738 = 'CalHFA Addendum'!$B19),Application!$G$714:$G$738)</f>
        <v>5</v>
      </c>
      <c r="AC19" s="2285"/>
      <c r="AD19" s="2285"/>
      <c r="AE19" s="2285"/>
      <c r="AF19" s="2285"/>
      <c r="AG19" s="2286"/>
      <c r="AH19" s="2284" cm="1">
        <f t="array" ref="AH19">SUMPRODUCT((Application!$B$714:$B$738 = 'CalHFA Addendum'!AH$18)*(Application!$AC$714:$AC$738 = 'CalHFA Addendum'!$B19),Application!$G$714:$G$738)</f>
        <v>5</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0.10303030303030303</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41</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15</v>
      </c>
      <c r="W21" s="2285"/>
      <c r="X21" s="2285"/>
      <c r="Y21" s="2285"/>
      <c r="Z21" s="2285"/>
      <c r="AA21" s="2286"/>
      <c r="AB21" s="2284" cm="1">
        <f t="array" ref="AB21">SUMPRODUCT((Application!$B$714:$B$738 = 'CalHFA Addendum'!AB$18)*(Application!$AC$714:$AC$738 = 'CalHFA Addendum'!$B21),Application!$G$714:$G$738)</f>
        <v>13</v>
      </c>
      <c r="AC21" s="2285"/>
      <c r="AD21" s="2285"/>
      <c r="AE21" s="2285"/>
      <c r="AF21" s="2285"/>
      <c r="AG21" s="2286"/>
      <c r="AH21" s="2284" cm="1">
        <f t="array" ref="AH21">SUMPRODUCT((Application!$B$714:$B$738 = 'CalHFA Addendum'!AH$18)*(Application!$AC$714:$AC$738 = 'CalHFA Addendum'!$B21),Application!$G$714:$G$738)</f>
        <v>13</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0.24848484848484848</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105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41</v>
      </c>
      <c r="W22" s="2285"/>
      <c r="X22" s="2285"/>
      <c r="Y22" s="2285"/>
      <c r="Z22" s="2285"/>
      <c r="AA22" s="2286"/>
      <c r="AB22" s="2284" cm="1">
        <f t="array" ref="AB22">SUMPRODUCT((Application!$B$714:$B$738 = 'CalHFA Addendum'!AB$18)*(Application!$AC$714:$AC$738 = 'CalHFA Addendum'!$B22),Application!$G$714:$G$738)</f>
        <v>30</v>
      </c>
      <c r="AC22" s="2285"/>
      <c r="AD22" s="2285"/>
      <c r="AE22" s="2285"/>
      <c r="AF22" s="2285"/>
      <c r="AG22" s="2286"/>
      <c r="AH22" s="2284" cm="1">
        <f t="array" ref="AH22">SUMPRODUCT((Application!$B$714:$B$738 = 'CalHFA Addendum'!AH$18)*(Application!$AC$714:$AC$738 = 'CalHFA Addendum'!$B22),Application!$G$714:$G$738)</f>
        <v>34</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0.63636363636363635</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2431</v>
      </c>
      <c r="C28" s="2273"/>
      <c r="D28" s="2273"/>
      <c r="E28" s="2273"/>
      <c r="F28" s="2273"/>
      <c r="G28" s="2273"/>
      <c r="H28" s="2273"/>
      <c r="I28" s="2274"/>
      <c r="J28" s="2275">
        <f>SUM(P28:AS28)</f>
        <v>2</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2</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1.2121212121212121E-2</v>
      </c>
      <c r="AU28" s="2279"/>
      <c r="AV28" s="2279"/>
      <c r="AW28" s="2279"/>
      <c r="AX28" s="2279"/>
      <c r="AY28" s="2280"/>
      <c r="AZ28" s="1190"/>
      <c r="BA28" s="1190"/>
      <c r="BB28" s="1190"/>
      <c r="BC28" s="1190"/>
      <c r="BD28" s="1190"/>
      <c r="BE28" s="1194"/>
    </row>
    <row r="29" spans="1:58" thickBot="1">
      <c r="A29" s="1190"/>
      <c r="B29" s="2255" t="s">
        <v>1585</v>
      </c>
      <c r="C29" s="2228"/>
      <c r="D29" s="2228"/>
      <c r="E29" s="2228"/>
      <c r="F29" s="2228"/>
      <c r="G29" s="2228"/>
      <c r="H29" s="2228"/>
      <c r="I29" s="2229"/>
      <c r="J29" s="2227">
        <f>SUM(J19:O28)</f>
        <v>165</v>
      </c>
      <c r="K29" s="2228"/>
      <c r="L29" s="2228"/>
      <c r="M29" s="2228"/>
      <c r="N29" s="2228"/>
      <c r="O29" s="2229"/>
      <c r="P29" s="2227">
        <f>SUM(P19:U28)</f>
        <v>0</v>
      </c>
      <c r="Q29" s="2228"/>
      <c r="R29" s="2228"/>
      <c r="S29" s="2228"/>
      <c r="T29" s="2228"/>
      <c r="U29" s="2229"/>
      <c r="V29" s="2227">
        <f>SUM(V19:AA28)</f>
        <v>63</v>
      </c>
      <c r="W29" s="2228"/>
      <c r="X29" s="2228"/>
      <c r="Y29" s="2228"/>
      <c r="Z29" s="2228"/>
      <c r="AA29" s="2229"/>
      <c r="AB29" s="2227">
        <f>SUM(AB19:AG28)</f>
        <v>50</v>
      </c>
      <c r="AC29" s="2228"/>
      <c r="AD29" s="2228"/>
      <c r="AE29" s="2228"/>
      <c r="AF29" s="2228"/>
      <c r="AG29" s="2229"/>
      <c r="AH29" s="2227">
        <f>SUM(AH19:AM28)</f>
        <v>52</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2430</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2429</v>
      </c>
      <c r="C32" s="2237"/>
      <c r="D32" s="2237"/>
      <c r="E32" s="2237"/>
      <c r="F32" s="2237"/>
      <c r="G32" s="2237"/>
      <c r="H32" s="2237"/>
      <c r="I32" s="2237"/>
      <c r="J32" s="2240" t="s">
        <v>2428</v>
      </c>
      <c r="K32" s="2241"/>
      <c r="L32" s="2241"/>
      <c r="M32" s="2241"/>
      <c r="N32" s="2240" t="s">
        <v>2427</v>
      </c>
      <c r="O32" s="2241"/>
      <c r="P32" s="2241"/>
      <c r="Q32" s="2243"/>
      <c r="R32" s="2245" t="s">
        <v>2426</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2425</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2424</v>
      </c>
      <c r="AT35" s="2257"/>
      <c r="AU35" s="2257"/>
      <c r="AV35" s="2257"/>
      <c r="AW35" s="2257"/>
      <c r="AX35" s="2265"/>
      <c r="AY35" s="2256" t="s">
        <v>2423</v>
      </c>
      <c r="AZ35" s="2257"/>
      <c r="BA35" s="2257"/>
      <c r="BB35" s="2257"/>
      <c r="BC35" s="2257"/>
      <c r="BD35" s="2258"/>
      <c r="BE35" s="1194"/>
    </row>
    <row r="36" spans="1:58" ht="15.75" customHeight="1">
      <c r="A36" s="1190"/>
      <c r="B36" s="2160" t="s">
        <v>2422</v>
      </c>
      <c r="C36" s="2161"/>
      <c r="D36" s="2161"/>
      <c r="E36" s="2161"/>
      <c r="F36" s="2161"/>
      <c r="G36" s="2161"/>
      <c r="H36" s="2161"/>
      <c r="I36" s="2161"/>
      <c r="J36" s="2225" t="s">
        <v>2421</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2420</v>
      </c>
      <c r="C37" s="2161"/>
      <c r="D37" s="2161"/>
      <c r="E37" s="2161"/>
      <c r="F37" s="2161"/>
      <c r="G37" s="2161"/>
      <c r="H37" s="2161"/>
      <c r="I37" s="2161"/>
      <c r="J37" s="2225" t="s">
        <v>2419</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2418</v>
      </c>
      <c r="C38" s="2161"/>
      <c r="D38" s="2161"/>
      <c r="E38" s="2161"/>
      <c r="F38" s="2161"/>
      <c r="G38" s="2161"/>
      <c r="H38" s="2161"/>
      <c r="I38" s="2161"/>
      <c r="J38" s="2225" t="s">
        <v>2417</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2416</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2416</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2415</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2415</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2414</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2413</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2412</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2336</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2409</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2402</v>
      </c>
      <c r="C51" s="2103"/>
      <c r="D51" s="2103"/>
      <c r="E51" s="2103"/>
      <c r="F51" s="2103"/>
      <c r="G51" s="2103"/>
      <c r="H51" s="2103"/>
      <c r="I51" s="2103"/>
      <c r="J51" s="2103" t="s">
        <v>2408</v>
      </c>
      <c r="K51" s="2103"/>
      <c r="L51" s="2103"/>
      <c r="M51" s="2103"/>
      <c r="N51" s="2103"/>
      <c r="O51" s="2103"/>
      <c r="P51" s="2103"/>
      <c r="Q51" s="2103"/>
      <c r="R51" s="2204" t="s">
        <v>2407</v>
      </c>
      <c r="S51" s="2204"/>
      <c r="T51" s="2204"/>
      <c r="U51" s="2204"/>
      <c r="V51" s="2204"/>
      <c r="W51" s="2204"/>
      <c r="X51" s="2204"/>
      <c r="Y51" s="2204"/>
      <c r="Z51" s="2204" t="s">
        <v>2406</v>
      </c>
      <c r="AA51" s="2204"/>
      <c r="AB51" s="2204"/>
      <c r="AC51" s="2204"/>
      <c r="AD51" s="2204"/>
      <c r="AE51" s="2204"/>
      <c r="AF51" s="2204"/>
      <c r="AG51" s="2204"/>
      <c r="AH51" s="2204" t="s">
        <v>2405</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2404</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2403</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1585</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2402</v>
      </c>
      <c r="C59" s="2194"/>
      <c r="D59" s="2194"/>
      <c r="E59" s="2194"/>
      <c r="F59" s="2194"/>
      <c r="G59" s="2194"/>
      <c r="H59" s="2194"/>
      <c r="I59" s="2195"/>
      <c r="J59" s="2101" t="s">
        <v>2401</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2399</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2398</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2397</v>
      </c>
    </row>
    <row r="69" spans="1:94" ht="15.75" customHeight="1" thickTop="1" thickBot="1">
      <c r="A69" s="1190"/>
      <c r="B69" s="2178" t="s">
        <v>2396</v>
      </c>
      <c r="C69" s="2179"/>
      <c r="D69" s="2179"/>
      <c r="E69" s="2179"/>
      <c r="F69" s="2179"/>
      <c r="G69" s="2179"/>
      <c r="H69" s="2179"/>
      <c r="I69" s="2179"/>
      <c r="J69" s="2179"/>
      <c r="K69" s="2179"/>
      <c r="L69" s="2179"/>
      <c r="M69" s="2179"/>
      <c r="N69" s="2179"/>
      <c r="O69" s="2180" t="s">
        <v>2395</v>
      </c>
      <c r="P69" s="2181"/>
      <c r="Q69" s="2181"/>
      <c r="R69" s="2181"/>
      <c r="S69" s="2181"/>
      <c r="T69" s="2181"/>
      <c r="U69" s="2181"/>
      <c r="V69" s="2181"/>
      <c r="W69" s="2181"/>
      <c r="X69" s="2181"/>
      <c r="Y69" s="2181"/>
      <c r="Z69" s="2181"/>
      <c r="AA69" s="2182"/>
      <c r="AB69" s="1190"/>
      <c r="AC69" s="2183" t="s">
        <v>2394</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2393</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2392</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2391</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2390</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2389</v>
      </c>
    </row>
    <row r="72" spans="1:94" ht="15.75" customHeight="1">
      <c r="A72" s="1190"/>
      <c r="B72" s="2160" t="s">
        <v>2388</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2387</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2386</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2331</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2384</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2383</v>
      </c>
      <c r="C81" s="2155"/>
      <c r="D81" s="2155"/>
      <c r="E81" s="2155"/>
      <c r="F81" s="2155"/>
      <c r="G81" s="2155"/>
      <c r="H81" s="2155"/>
      <c r="I81" s="2155"/>
      <c r="J81" s="2155"/>
      <c r="K81" s="2155"/>
      <c r="L81" s="2155"/>
      <c r="M81" s="2155"/>
      <c r="N81" s="2155"/>
      <c r="O81" s="2155"/>
      <c r="P81" s="2155"/>
      <c r="Q81" s="2155"/>
      <c r="R81" s="2136" t="s">
        <v>2188</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2382</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2381</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2371</v>
      </c>
      <c r="J84" s="2103"/>
      <c r="K84" s="2103"/>
      <c r="L84" s="2103"/>
      <c r="M84" s="2103"/>
      <c r="N84" s="2103"/>
      <c r="O84" s="2103" t="s">
        <v>2347</v>
      </c>
      <c r="P84" s="2103"/>
      <c r="Q84" s="2103"/>
      <c r="R84" s="2103"/>
      <c r="S84" s="2103"/>
      <c r="T84" s="2103"/>
      <c r="U84" s="2103"/>
      <c r="V84" s="2139" t="s">
        <v>2346</v>
      </c>
      <c r="W84" s="2139"/>
      <c r="X84" s="2139"/>
      <c r="Y84" s="2139"/>
      <c r="Z84" s="2139"/>
      <c r="AA84" s="2139"/>
      <c r="AB84" s="2073" t="s">
        <v>2370</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2369</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2368</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2375</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2367</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2379</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2378</v>
      </c>
      <c r="C94" s="2155"/>
      <c r="D94" s="2155"/>
      <c r="E94" s="2155"/>
      <c r="F94" s="2155"/>
      <c r="G94" s="2155"/>
      <c r="H94" s="2155"/>
      <c r="I94" s="2155"/>
      <c r="J94" s="2155"/>
      <c r="K94" s="2155"/>
      <c r="L94" s="2155"/>
      <c r="M94" s="2155"/>
      <c r="N94" s="2155"/>
      <c r="O94" s="2155"/>
      <c r="P94" s="2155"/>
      <c r="Q94" s="2156"/>
      <c r="R94" s="2136" t="s">
        <v>2188</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2377</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2376</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Hillcrest Antioch Investor LLC (Cypress Equity Investments LLC)</v>
      </c>
      <c r="BR96" s="1259">
        <f>Application!AH246</f>
        <v>8.9999999999999993E-3</v>
      </c>
      <c r="CM96" s="1188"/>
      <c r="CN96" s="1188"/>
      <c r="CO96" s="1188"/>
      <c r="CP96" s="1188"/>
    </row>
    <row r="97" spans="1:94" ht="15.75" customHeight="1">
      <c r="A97" s="1190"/>
      <c r="B97" s="2135"/>
      <c r="C97" s="2103"/>
      <c r="D97" s="2103"/>
      <c r="E97" s="2103"/>
      <c r="F97" s="2103"/>
      <c r="G97" s="2103"/>
      <c r="H97" s="2103"/>
      <c r="I97" s="2103" t="s">
        <v>2371</v>
      </c>
      <c r="J97" s="2103"/>
      <c r="K97" s="2103"/>
      <c r="L97" s="2103"/>
      <c r="M97" s="2103"/>
      <c r="N97" s="2103"/>
      <c r="O97" s="2103" t="s">
        <v>2347</v>
      </c>
      <c r="P97" s="2103"/>
      <c r="Q97" s="2103"/>
      <c r="R97" s="2103"/>
      <c r="S97" s="2103"/>
      <c r="T97" s="2103"/>
      <c r="U97" s="2103"/>
      <c r="V97" s="2139" t="s">
        <v>2346</v>
      </c>
      <c r="W97" s="2139"/>
      <c r="X97" s="2139"/>
      <c r="Y97" s="2139"/>
      <c r="Z97" s="2139"/>
      <c r="AA97" s="2139"/>
      <c r="AB97" s="2073" t="s">
        <v>2370</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Pacific Housing, Inc. (Pacific Housing, Inc.)</v>
      </c>
      <c r="BR97" s="1259">
        <f>Application!AH254</f>
        <v>1E-3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2369</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2368</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2375</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2367</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2372</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2371</v>
      </c>
      <c r="J108" s="2103"/>
      <c r="K108" s="2103"/>
      <c r="L108" s="2103"/>
      <c r="M108" s="2103"/>
      <c r="N108" s="2103"/>
      <c r="O108" s="2103" t="s">
        <v>2347</v>
      </c>
      <c r="P108" s="2103"/>
      <c r="Q108" s="2103"/>
      <c r="R108" s="2103"/>
      <c r="S108" s="2103"/>
      <c r="T108" s="2103"/>
      <c r="U108" s="2103"/>
      <c r="V108" s="2139" t="s">
        <v>2346</v>
      </c>
      <c r="W108" s="2139"/>
      <c r="X108" s="2139"/>
      <c r="Y108" s="2139"/>
      <c r="Z108" s="2139"/>
      <c r="AA108" s="2139"/>
      <c r="AB108" s="2073" t="s">
        <v>2370</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2369</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2368</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2367</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2365</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2365</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2363</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1575</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2362</v>
      </c>
      <c r="J127" s="2103"/>
      <c r="K127" s="2103"/>
      <c r="L127" s="2103"/>
      <c r="M127" s="2103"/>
      <c r="N127" s="2103"/>
      <c r="O127" s="2104" t="s">
        <v>2361</v>
      </c>
      <c r="P127" s="2104"/>
      <c r="Q127" s="2104"/>
      <c r="R127" s="2104"/>
      <c r="S127" s="2104"/>
      <c r="T127" s="2104"/>
      <c r="U127" s="2105"/>
      <c r="V127" s="1190"/>
      <c r="W127" s="1190"/>
      <c r="X127" s="2043" t="s">
        <v>2331</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2345</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2344</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2359</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2347</v>
      </c>
      <c r="J134" s="2078"/>
      <c r="K134" s="2078"/>
      <c r="L134" s="2078"/>
      <c r="M134" s="2078"/>
      <c r="N134" s="2078"/>
      <c r="O134" s="2078"/>
      <c r="P134" s="2078" t="s">
        <v>2346</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2345</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2344</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2358</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2357</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2356</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2355</v>
      </c>
      <c r="C142" s="2086"/>
      <c r="D142" s="2086"/>
      <c r="E142" s="2086"/>
      <c r="F142" s="2086"/>
      <c r="G142" s="2086"/>
      <c r="H142" s="2086"/>
      <c r="I142" s="2086"/>
      <c r="J142" s="2086"/>
      <c r="K142" s="2086"/>
      <c r="L142" s="2086"/>
      <c r="M142" s="2086"/>
      <c r="N142" s="2086"/>
      <c r="O142" s="2086"/>
      <c r="P142" s="2086"/>
      <c r="Q142" s="2086"/>
      <c r="R142" s="2087" t="s">
        <v>2354</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2353</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2350</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2349</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2347</v>
      </c>
      <c r="J157" s="2078"/>
      <c r="K157" s="2078"/>
      <c r="L157" s="2078"/>
      <c r="M157" s="2078"/>
      <c r="N157" s="2078"/>
      <c r="O157" s="2078"/>
      <c r="P157" s="2078" t="s">
        <v>2348</v>
      </c>
      <c r="Q157" s="2078"/>
      <c r="R157" s="2078"/>
      <c r="S157" s="2078"/>
      <c r="T157" s="2078"/>
      <c r="U157" s="2079"/>
      <c r="V157" s="1190"/>
      <c r="W157" s="1190"/>
      <c r="X157" s="2040"/>
      <c r="Y157" s="2041"/>
      <c r="Z157" s="2041"/>
      <c r="AA157" s="2041"/>
      <c r="AB157" s="2041"/>
      <c r="AC157" s="2041"/>
      <c r="AD157" s="2041"/>
      <c r="AE157" s="2078" t="s">
        <v>2347</v>
      </c>
      <c r="AF157" s="2078"/>
      <c r="AG157" s="2078"/>
      <c r="AH157" s="2078"/>
      <c r="AI157" s="2078"/>
      <c r="AJ157" s="2078"/>
      <c r="AK157" s="2078"/>
      <c r="AL157" s="2078" t="s">
        <v>2346</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2345</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2345</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2344</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2343</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2328</v>
      </c>
      <c r="D163" s="2041"/>
      <c r="E163" s="2041"/>
      <c r="F163" s="2041"/>
      <c r="G163" s="2041"/>
      <c r="H163" s="2041"/>
      <c r="I163" s="2041"/>
      <c r="J163" s="2041"/>
      <c r="K163" s="2041"/>
      <c r="L163" s="2041"/>
      <c r="M163" s="2041"/>
      <c r="N163" s="2041"/>
      <c r="O163" s="2041"/>
      <c r="P163" s="2041"/>
      <c r="Q163" s="2041" t="s">
        <v>2342</v>
      </c>
      <c r="R163" s="2041"/>
      <c r="S163" s="2041"/>
      <c r="T163" s="2073" t="s">
        <v>2341</v>
      </c>
      <c r="U163" s="2073"/>
      <c r="V163" s="2073"/>
      <c r="W163" s="2073"/>
      <c r="X163" s="2073"/>
      <c r="Y163" s="2073"/>
      <c r="Z163" s="2073"/>
      <c r="AA163" s="2073"/>
      <c r="AB163" s="2041" t="s">
        <v>2340</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2339</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2338</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2337</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2336</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2317</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2317</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2317</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2335</v>
      </c>
      <c r="D172" s="2027"/>
      <c r="E172" s="2027"/>
      <c r="F172" s="2027"/>
      <c r="G172" s="2027"/>
      <c r="H172" s="2027"/>
      <c r="I172" s="2027"/>
      <c r="J172" s="2027"/>
      <c r="K172" s="2027"/>
      <c r="L172" s="2027"/>
      <c r="M172" s="2027"/>
      <c r="N172" s="2036"/>
      <c r="O172" s="1190"/>
      <c r="P172" s="2037" t="s">
        <v>2334</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2333</v>
      </c>
      <c r="D173" s="2041"/>
      <c r="E173" s="2041"/>
      <c r="F173" s="2041"/>
      <c r="G173" s="2041"/>
      <c r="H173" s="2041"/>
      <c r="I173" s="2041" t="s">
        <v>2332</v>
      </c>
      <c r="J173" s="2041"/>
      <c r="K173" s="2041"/>
      <c r="L173" s="2041"/>
      <c r="M173" s="2041"/>
      <c r="N173" s="2042"/>
      <c r="O173" s="1190"/>
      <c r="P173" s="2043" t="s">
        <v>2331</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2330</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2328</v>
      </c>
      <c r="D184" s="2027"/>
      <c r="E184" s="2027"/>
      <c r="F184" s="2027"/>
      <c r="G184" s="2027"/>
      <c r="H184" s="2027"/>
      <c r="I184" s="2027"/>
      <c r="J184" s="2027"/>
      <c r="K184" s="2027"/>
      <c r="L184" s="2027"/>
      <c r="M184" s="2027"/>
      <c r="N184" s="2027" t="s">
        <v>2329</v>
      </c>
      <c r="O184" s="2027"/>
      <c r="P184" s="2027"/>
      <c r="Q184" s="2027"/>
      <c r="R184" s="2027"/>
      <c r="S184" s="2027"/>
      <c r="T184" s="2027"/>
      <c r="U184" s="2028" t="s">
        <v>2328</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2327</v>
      </c>
      <c r="D185" s="2006"/>
      <c r="E185" s="2006"/>
      <c r="F185" s="2006"/>
      <c r="G185" s="2006"/>
      <c r="H185" s="2006"/>
      <c r="I185" s="2006"/>
      <c r="J185" s="2006"/>
      <c r="K185" s="2006"/>
      <c r="L185" s="2006"/>
      <c r="M185" s="2006"/>
      <c r="N185" s="2016">
        <f>'Sources and Uses Budget'!B105</f>
        <v>72696647</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2326</v>
      </c>
      <c r="D186" s="2006"/>
      <c r="E186" s="2006"/>
      <c r="F186" s="2006"/>
      <c r="G186" s="2006"/>
      <c r="H186" s="2006"/>
      <c r="I186" s="2006"/>
      <c r="J186" s="2006"/>
      <c r="K186" s="2006"/>
      <c r="L186" s="2006"/>
      <c r="M186" s="2006"/>
      <c r="N186" s="2016">
        <f>N185/J29</f>
        <v>440585.73939393938</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2325</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2324</v>
      </c>
      <c r="D188" s="2006"/>
      <c r="E188" s="2006"/>
      <c r="F188" s="2006"/>
      <c r="G188" s="2006"/>
      <c r="H188" s="2006"/>
      <c r="I188" s="2006"/>
      <c r="J188" s="2006"/>
      <c r="K188" s="2006"/>
      <c r="L188" s="2006"/>
      <c r="M188" s="2006"/>
      <c r="N188" s="2035">
        <f>SUM('Sources and Uses Budget'!B85:B86)</f>
        <v>5833996</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2323</v>
      </c>
      <c r="D189" s="2006"/>
      <c r="E189" s="2006"/>
      <c r="F189" s="2006"/>
      <c r="G189" s="2006"/>
      <c r="H189" s="2006"/>
      <c r="I189" s="2006"/>
      <c r="J189" s="2006"/>
      <c r="K189" s="2006"/>
      <c r="L189" s="2006"/>
      <c r="M189" s="2006"/>
      <c r="N189" s="2035">
        <f>'Sources and Uses Budget'!B8</f>
        <v>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2321</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2322</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2321</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2320</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2319</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2317</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2318</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2317</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2317</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2316</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2315</v>
      </c>
      <c r="D195" s="1960"/>
      <c r="E195" s="1960"/>
      <c r="F195" s="1960"/>
      <c r="G195" s="1960"/>
      <c r="H195" s="1960"/>
      <c r="I195" s="1960"/>
      <c r="J195" s="1960"/>
      <c r="K195" s="1960"/>
      <c r="L195" s="1960"/>
      <c r="M195" s="1960"/>
      <c r="N195" s="1961">
        <f>SUM(N187:T194)</f>
        <v>5833996</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2314</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2313</v>
      </c>
      <c r="D196" s="1970"/>
      <c r="E196" s="1970"/>
      <c r="F196" s="1970"/>
      <c r="G196" s="1970"/>
      <c r="H196" s="1970"/>
      <c r="I196" s="1970"/>
      <c r="J196" s="1970"/>
      <c r="K196" s="1970"/>
      <c r="L196" s="1970"/>
      <c r="M196" s="1970"/>
      <c r="N196" s="1971">
        <f>(N185-N195)/J29</f>
        <v>405228.18787878787</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2312</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2311</v>
      </c>
      <c r="D200" s="1957"/>
      <c r="E200" s="1957"/>
      <c r="F200" s="1957"/>
      <c r="G200" s="1957"/>
      <c r="H200" s="1957"/>
      <c r="I200" s="1957"/>
      <c r="J200" s="1957"/>
      <c r="K200" s="1957"/>
      <c r="L200" s="1957"/>
      <c r="M200" s="1957"/>
      <c r="N200" s="1957"/>
      <c r="O200" s="1958" t="s">
        <v>2310</v>
      </c>
      <c r="P200" s="1958"/>
      <c r="Q200" s="1958"/>
      <c r="R200" s="1958"/>
      <c r="S200" s="1958"/>
      <c r="T200" s="1958"/>
      <c r="U200" s="1958"/>
      <c r="V200" s="1958"/>
      <c r="W200" s="1958"/>
      <c r="X200" s="1958" t="s">
        <v>2309</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2308</v>
      </c>
      <c r="D201" s="1949"/>
      <c r="E201" s="1949"/>
      <c r="F201" s="1949"/>
      <c r="G201" s="1949"/>
      <c r="H201" s="1949"/>
      <c r="I201" s="1949"/>
      <c r="J201" s="1949"/>
      <c r="K201" s="1949"/>
      <c r="L201" s="1949"/>
      <c r="M201" s="1949"/>
      <c r="N201" s="1949"/>
      <c r="O201" s="1950" t="s">
        <v>2307</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2307</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2306</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2305</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2304</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2303</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2302</v>
      </c>
      <c r="D207" s="1928"/>
      <c r="E207" s="1928"/>
      <c r="F207" s="1929"/>
      <c r="G207" s="1933" t="s">
        <v>2301</v>
      </c>
      <c r="H207" s="1928"/>
      <c r="I207" s="1928"/>
      <c r="J207" s="1928"/>
      <c r="K207" s="1928"/>
      <c r="L207" s="1928"/>
      <c r="M207" s="1928"/>
      <c r="N207" s="1928"/>
      <c r="O207" s="1929"/>
      <c r="P207" s="1935" t="s">
        <v>2300</v>
      </c>
      <c r="Q207" s="1936"/>
      <c r="R207" s="1936"/>
      <c r="S207" s="1936"/>
      <c r="T207" s="1937"/>
      <c r="U207" s="1941" t="s">
        <v>2299</v>
      </c>
      <c r="V207" s="1942"/>
      <c r="W207" s="1942"/>
      <c r="X207" s="1943"/>
      <c r="Y207" s="1941" t="s">
        <v>2298</v>
      </c>
      <c r="Z207" s="1942"/>
      <c r="AA207" s="1942"/>
      <c r="AB207" s="1943"/>
      <c r="AC207" s="1941" t="s">
        <v>2297</v>
      </c>
      <c r="AD207" s="1942"/>
      <c r="AE207" s="1942"/>
      <c r="AF207" s="1943"/>
      <c r="AG207" s="1933" t="s">
        <v>2296</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1884</v>
      </c>
      <c r="H209" s="1918"/>
      <c r="I209" s="1918"/>
      <c r="J209" s="1918"/>
      <c r="K209" s="1918"/>
      <c r="L209" s="1918"/>
      <c r="M209" s="1918"/>
      <c r="N209" s="1918"/>
      <c r="O209" s="1918"/>
      <c r="P209" s="1919"/>
      <c r="Q209" s="1922"/>
      <c r="R209" s="1922"/>
      <c r="S209" s="1922"/>
      <c r="T209" s="1922"/>
      <c r="U209" s="1920" t="s">
        <v>1884</v>
      </c>
      <c r="V209" s="1920"/>
      <c r="W209" s="1920"/>
      <c r="X209" s="1920"/>
      <c r="Y209" s="1920" t="s">
        <v>1884</v>
      </c>
      <c r="Z209" s="1920"/>
      <c r="AA209" s="1920"/>
      <c r="AB209" s="1920"/>
      <c r="AC209" s="1921" t="s">
        <v>1884</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1884</v>
      </c>
      <c r="H210" s="1918"/>
      <c r="I210" s="1918"/>
      <c r="J210" s="1918"/>
      <c r="K210" s="1918"/>
      <c r="L210" s="1918"/>
      <c r="M210" s="1918"/>
      <c r="N210" s="1918"/>
      <c r="O210" s="1918"/>
      <c r="P210" s="1919"/>
      <c r="Q210" s="1919"/>
      <c r="R210" s="1919"/>
      <c r="S210" s="1919"/>
      <c r="T210" s="1919"/>
      <c r="U210" s="1920" t="s">
        <v>1884</v>
      </c>
      <c r="V210" s="1920"/>
      <c r="W210" s="1920"/>
      <c r="X210" s="1920"/>
      <c r="Y210" s="1920" t="s">
        <v>1884</v>
      </c>
      <c r="Z210" s="1920"/>
      <c r="AA210" s="1920"/>
      <c r="AB210" s="1920"/>
      <c r="AC210" s="1921" t="s">
        <v>1884</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1884</v>
      </c>
      <c r="H211" s="1918"/>
      <c r="I211" s="1918"/>
      <c r="J211" s="1918"/>
      <c r="K211" s="1918"/>
      <c r="L211" s="1918"/>
      <c r="M211" s="1918"/>
      <c r="N211" s="1918"/>
      <c r="O211" s="1918"/>
      <c r="P211" s="1919"/>
      <c r="Q211" s="1919"/>
      <c r="R211" s="1919"/>
      <c r="S211" s="1919"/>
      <c r="T211" s="1919"/>
      <c r="U211" s="1920" t="s">
        <v>1884</v>
      </c>
      <c r="V211" s="1920"/>
      <c r="W211" s="1920"/>
      <c r="X211" s="1920"/>
      <c r="Y211" s="1920" t="s">
        <v>1884</v>
      </c>
      <c r="Z211" s="1920"/>
      <c r="AA211" s="1920"/>
      <c r="AB211" s="1920"/>
      <c r="AC211" s="1921" t="s">
        <v>1884</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1884</v>
      </c>
      <c r="H212" s="1918"/>
      <c r="I212" s="1918"/>
      <c r="J212" s="1918"/>
      <c r="K212" s="1918"/>
      <c r="L212" s="1918"/>
      <c r="M212" s="1918"/>
      <c r="N212" s="1918"/>
      <c r="O212" s="1918"/>
      <c r="P212" s="1919"/>
      <c r="Q212" s="1919"/>
      <c r="R212" s="1919"/>
      <c r="S212" s="1919"/>
      <c r="T212" s="1919"/>
      <c r="U212" s="1920" t="s">
        <v>1884</v>
      </c>
      <c r="V212" s="1920"/>
      <c r="W212" s="1920"/>
      <c r="X212" s="1920"/>
      <c r="Y212" s="1920" t="s">
        <v>1884</v>
      </c>
      <c r="Z212" s="1920"/>
      <c r="AA212" s="1920"/>
      <c r="AB212" s="1920"/>
      <c r="AC212" s="1921" t="s">
        <v>1884</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1884</v>
      </c>
      <c r="H213" s="1918"/>
      <c r="I213" s="1918"/>
      <c r="J213" s="1918"/>
      <c r="K213" s="1918"/>
      <c r="L213" s="1918"/>
      <c r="M213" s="1918"/>
      <c r="N213" s="1918"/>
      <c r="O213" s="1918"/>
      <c r="P213" s="1919"/>
      <c r="Q213" s="1919"/>
      <c r="R213" s="1919"/>
      <c r="S213" s="1919"/>
      <c r="T213" s="1919"/>
      <c r="U213" s="1920" t="s">
        <v>1884</v>
      </c>
      <c r="V213" s="1920"/>
      <c r="W213" s="1920"/>
      <c r="X213" s="1920"/>
      <c r="Y213" s="1920" t="s">
        <v>1884</v>
      </c>
      <c r="Z213" s="1920"/>
      <c r="AA213" s="1920"/>
      <c r="AB213" s="1920"/>
      <c r="AC213" s="1921" t="s">
        <v>1884</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1884</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1884</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1884</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2295</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2293</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2292</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2291</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2290</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2288</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2287</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2286</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2285</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2284</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2283</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2282</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1279</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70145547</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497</v>
      </c>
      <c r="C12" s="1309"/>
      <c r="D12" s="1309"/>
      <c r="E12" s="1309"/>
      <c r="F12" s="1309"/>
      <c r="G12" s="1309"/>
      <c r="H12" s="1309"/>
      <c r="I12" s="1309"/>
      <c r="J12" s="1309"/>
      <c r="K12" s="1309"/>
      <c r="L12" s="1309"/>
      <c r="M12" s="1309"/>
      <c r="N12" s="1309"/>
      <c r="O12" s="1309"/>
      <c r="P12" s="1309"/>
      <c r="Q12" s="1309"/>
      <c r="R12" s="1309"/>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1262</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70145547</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172250548.69999999</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1263</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91189211.100000009</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91189211.100000009</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91189211.100000009</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1265</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1264</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91189211.100000009</v>
      </c>
      <c r="Z38" s="2336"/>
      <c r="AA38" s="2336"/>
      <c r="AB38" s="2336"/>
      <c r="AC38" s="2336"/>
      <c r="AD38" s="2336">
        <f>IF(T24&gt;=(T23+Y23+AD23+AI23),AD28+AI28,0)</f>
        <v>0</v>
      </c>
      <c r="AE38" s="2336"/>
      <c r="AF38" s="2336"/>
      <c r="AG38" s="2336"/>
      <c r="AH38" s="2336"/>
    </row>
    <row r="39" spans="1:76" ht="12.95" customHeight="1">
      <c r="B39" s="2342" t="s">
        <v>1690</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3647568</v>
      </c>
      <c r="Z40" s="2336"/>
      <c r="AA40" s="2336"/>
      <c r="AB40" s="2336"/>
      <c r="AC40" s="2336"/>
      <c r="AD40" s="235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3647568</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1275</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Budget'!B15),IF(Application!AG394="",0,Application!AG394))</f>
        <v>72696647</v>
      </c>
      <c r="AC47" s="2351"/>
      <c r="AD47" s="2351"/>
      <c r="AE47" s="2351"/>
      <c r="AF47" s="2352"/>
    </row>
    <row r="48" spans="1:76" ht="12.95" customHeight="1">
      <c r="D48" s="404" t="s">
        <v>21</v>
      </c>
      <c r="AB48" s="2350">
        <f>Application!AO639-MAX(IF('Sources and Uses Budget'!B15="",0,'Sources and Uses Budget'!B15),IF(Application!AG394="",0,Application!AG394))</f>
        <v>41211738</v>
      </c>
      <c r="AC48" s="2351"/>
      <c r="AD48" s="2351"/>
      <c r="AE48" s="2351"/>
      <c r="AF48" s="2352"/>
    </row>
    <row r="49" spans="1:76" ht="12.95" customHeight="1">
      <c r="D49" s="404" t="s">
        <v>91</v>
      </c>
      <c r="AB49" s="2350">
        <f>AB47-AB48</f>
        <v>31484909</v>
      </c>
      <c r="AC49" s="2351"/>
      <c r="AD49" s="2351"/>
      <c r="AE49" s="2351"/>
      <c r="AF49" s="2352"/>
    </row>
    <row r="50" spans="1:76" ht="12.95" customHeight="1">
      <c r="D50" s="404" t="s">
        <v>681</v>
      </c>
      <c r="AA50" s="415"/>
      <c r="AB50" s="2338">
        <v>0.86317536800000005</v>
      </c>
      <c r="AC50" s="2339"/>
      <c r="AD50" s="2339"/>
      <c r="AE50" s="2339"/>
      <c r="AF50" s="2340"/>
    </row>
    <row r="51" spans="1:76" s="417" customFormat="1" ht="12.95" customHeight="1">
      <c r="A51" s="402"/>
      <c r="B51" s="402"/>
      <c r="C51" s="402"/>
      <c r="D51" s="402"/>
      <c r="E51" s="2349" t="s">
        <v>1849</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36475681</v>
      </c>
      <c r="AC54" s="2351"/>
      <c r="AD54" s="2351"/>
      <c r="AE54" s="2351"/>
      <c r="AF54" s="2352"/>
    </row>
    <row r="55" spans="1:76" ht="12.95" customHeight="1">
      <c r="D55" s="404" t="s">
        <v>333</v>
      </c>
      <c r="AB55" s="2350">
        <f>(AB54/10)</f>
        <v>3647568.1</v>
      </c>
      <c r="AC55" s="2351"/>
      <c r="AD55" s="2351"/>
      <c r="AE55" s="2351"/>
      <c r="AF55" s="2352"/>
    </row>
    <row r="56" spans="1:76" ht="12.95" customHeight="1">
      <c r="D56" s="404" t="s">
        <v>756</v>
      </c>
      <c r="AB56" s="2350">
        <f>ROUND((IF((Y41&lt;AB55),Y41,AB55)),0)</f>
        <v>3647568</v>
      </c>
      <c r="AC56" s="2351"/>
      <c r="AD56" s="2351"/>
      <c r="AE56" s="2351"/>
      <c r="AF56" s="2352"/>
    </row>
    <row r="57" spans="1:76" ht="12.95" customHeight="1">
      <c r="D57" s="404" t="s">
        <v>755</v>
      </c>
      <c r="AB57" s="2350">
        <f>ROUND((10*AB56*AB50),0)</f>
        <v>31484909</v>
      </c>
      <c r="AC57" s="2351"/>
      <c r="AD57" s="2351"/>
      <c r="AE57" s="2351"/>
      <c r="AF57" s="2352"/>
    </row>
    <row r="58" spans="1:76" ht="12.95" customHeight="1">
      <c r="D58" s="404"/>
      <c r="AB58" s="423"/>
      <c r="AC58" s="423"/>
      <c r="AD58" s="423"/>
      <c r="AE58" s="423"/>
      <c r="AF58" s="423"/>
    </row>
    <row r="59" spans="1:76" ht="12.95" customHeight="1">
      <c r="D59" s="404" t="s">
        <v>754</v>
      </c>
      <c r="AB59" s="2334">
        <f>AB49-AB57</f>
        <v>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589</v>
      </c>
      <c r="C63" s="205" t="s">
        <v>1247</v>
      </c>
      <c r="Y63" s="2345" t="s">
        <v>983</v>
      </c>
      <c r="Z63" s="2345"/>
      <c r="AA63" s="2345"/>
      <c r="AB63" s="2345"/>
      <c r="AC63" s="2345"/>
      <c r="AD63" s="2345" t="s">
        <v>369</v>
      </c>
      <c r="AE63" s="2345"/>
      <c r="AF63" s="2345"/>
      <c r="AG63" s="2345"/>
      <c r="AH63" s="2345"/>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70145547</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0.3</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2.95" customHeight="1">
      <c r="C68" s="404"/>
      <c r="D68" s="205" t="s">
        <v>2225</v>
      </c>
      <c r="Y68" s="2336">
        <f>ROUND(Y64*Y67,0)</f>
        <v>21043664</v>
      </c>
      <c r="Z68" s="2337"/>
      <c r="AA68" s="2337"/>
      <c r="AB68" s="2337"/>
      <c r="AC68" s="2337"/>
      <c r="AD68" s="2336">
        <f>ROUND(AD64*AD67,0)</f>
        <v>0</v>
      </c>
      <c r="AE68" s="2337"/>
      <c r="AF68" s="2337"/>
      <c r="AG68" s="2337"/>
      <c r="AH68" s="2337"/>
    </row>
    <row r="69" spans="1:36" ht="12.95" customHeight="1">
      <c r="C69" s="404"/>
      <c r="D69" s="205" t="s">
        <v>2226</v>
      </c>
      <c r="Y69" s="2336">
        <f>IF(OR(Application!Z205="State Farmworker Credit",Application!Z205="$500M (Farmworker Housing)"),Y68+AD68,MIN(Y68+AD68,200000*(Application!G753+Application!O777)))</f>
        <v>21043664</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1249</v>
      </c>
      <c r="AB72" s="2338"/>
      <c r="AC72" s="2339"/>
      <c r="AD72" s="2339"/>
      <c r="AE72" s="2339"/>
      <c r="AF72" s="2340"/>
    </row>
    <row r="73" spans="1:36" ht="12.95" customHeight="1">
      <c r="A73" s="404"/>
      <c r="C73" s="404"/>
      <c r="D73" s="404"/>
      <c r="E73" s="2341" t="s">
        <v>1250</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9">
        <f>ROUND(IF(ISERROR((AB59/AB72)),0,(AB59/AB72)),0)</f>
        <v>0</v>
      </c>
      <c r="AC77" s="2329"/>
      <c r="AD77" s="2329"/>
      <c r="AE77" s="2329"/>
      <c r="AF77" s="2329"/>
    </row>
    <row r="78" spans="1:36" ht="12.95" customHeight="1">
      <c r="C78" s="404"/>
      <c r="D78" s="205" t="s">
        <v>1252</v>
      </c>
      <c r="AB78" s="2330">
        <f>ROUNDUP(MIN(Y69,AB77),0)</f>
        <v>0</v>
      </c>
      <c r="AC78" s="2331"/>
      <c r="AD78" s="2331"/>
      <c r="AE78" s="2331"/>
      <c r="AF78" s="2332"/>
    </row>
    <row r="79" spans="1:36" ht="12.95" customHeight="1">
      <c r="C79" s="404"/>
      <c r="D79" s="205" t="s">
        <v>1253</v>
      </c>
      <c r="AB79" s="2333">
        <f>AB78*AB72</f>
        <v>0</v>
      </c>
      <c r="AC79" s="2333"/>
      <c r="AD79" s="2333"/>
      <c r="AE79" s="2333"/>
      <c r="AF79" s="2333"/>
    </row>
    <row r="80" spans="1:36" ht="12.95" customHeight="1">
      <c r="C80" s="404"/>
      <c r="D80" s="404"/>
      <c r="AB80" s="425"/>
      <c r="AC80" s="425"/>
      <c r="AD80" s="425"/>
      <c r="AE80" s="425"/>
      <c r="AF80" s="425"/>
    </row>
    <row r="81" spans="1:78" ht="12.95" customHeight="1">
      <c r="D81" s="404" t="s">
        <v>754</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47" workbookViewId="0">
      <selection activeCell="E694" sqref="E694:AB69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1299</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1304</v>
      </c>
      <c r="AF7" s="2408"/>
      <c r="AG7" s="2408"/>
      <c r="AH7" s="2408"/>
      <c r="AI7" s="2408"/>
      <c r="AJ7" s="2408"/>
      <c r="AK7" s="2408"/>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1306</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1309</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2033</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2249</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8" t="s">
        <v>591</v>
      </c>
      <c r="C33" s="2398"/>
      <c r="D33" s="547"/>
      <c r="E33" s="2434" t="s">
        <v>2251</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2252</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2250</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2008</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2014</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2015</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1313</v>
      </c>
      <c r="AF65" s="2408"/>
      <c r="AG65" s="2408"/>
      <c r="AH65" s="2408"/>
      <c r="AI65" s="2408"/>
      <c r="AJ65" s="2408"/>
      <c r="AK65" s="2408"/>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545</v>
      </c>
      <c r="C68" s="2398"/>
      <c r="D68" s="547" t="s">
        <v>1314</v>
      </c>
      <c r="E68" s="2409" t="s">
        <v>2016</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10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1315</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591</v>
      </c>
      <c r="C74" s="239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591</v>
      </c>
      <c r="F75" s="239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1319</v>
      </c>
      <c r="E81" s="2399" t="s">
        <v>1739</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1304</v>
      </c>
      <c r="AF87" s="2408"/>
      <c r="AG87" s="2408"/>
      <c r="AH87" s="2408"/>
      <c r="AI87" s="2408"/>
      <c r="AJ87" s="2408"/>
      <c r="AK87" s="2408"/>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591</v>
      </c>
      <c r="C90" s="2398"/>
      <c r="D90" s="547" t="s">
        <v>1314</v>
      </c>
      <c r="E90" s="2409" t="s">
        <v>1324</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0.54355828220858893</v>
      </c>
      <c r="F93" s="2393"/>
      <c r="G93" s="2393"/>
      <c r="H93" s="2393"/>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4.9999999999999933E-2</v>
      </c>
      <c r="F94" s="2395"/>
      <c r="G94" s="2395"/>
      <c r="H94" s="2395"/>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9.9999999999999858</v>
      </c>
      <c r="F95" s="2426"/>
      <c r="G95" s="2426"/>
      <c r="H95" s="2426"/>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545</v>
      </c>
      <c r="C98" s="2398"/>
      <c r="D98" s="547" t="s">
        <v>1316</v>
      </c>
      <c r="E98" s="2409" t="s">
        <v>1724</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0.54355828220858893</v>
      </c>
      <c r="F103" s="2393"/>
      <c r="G103" s="2393"/>
      <c r="H103" s="2393"/>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0.10429447852760736</v>
      </c>
      <c r="F104" s="2393"/>
      <c r="G104" s="2393"/>
      <c r="H104" s="2393"/>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0.25153374233128833</v>
      </c>
      <c r="F105" s="2393"/>
      <c r="G105" s="2393"/>
      <c r="H105" s="2393"/>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1313</v>
      </c>
      <c r="AF112" s="2408"/>
      <c r="AG112" s="2408"/>
      <c r="AH112" s="2408"/>
      <c r="AI112" s="2408"/>
      <c r="AJ112" s="2408"/>
      <c r="AK112" s="2408"/>
      <c r="AL112" s="540"/>
      <c r="AM112" s="540"/>
      <c r="AN112" s="535"/>
      <c r="AO112" s="536" t="str">
        <f>Application!B718</f>
        <v>1 Bedroom</v>
      </c>
      <c r="AQ112" s="536">
        <f>Application!O718</f>
        <v>868</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1040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1195</v>
      </c>
    </row>
    <row r="115" spans="1:52" s="536" customFormat="1" ht="12.75" customHeight="1">
      <c r="A115" s="540"/>
      <c r="B115" s="2398" t="s">
        <v>545</v>
      </c>
      <c r="C115" s="2398"/>
      <c r="D115" s="547" t="s">
        <v>1314</v>
      </c>
      <c r="E115" s="2409" t="s">
        <v>1857</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1467</v>
      </c>
      <c r="AU115" s="536" t="s">
        <v>1839</v>
      </c>
      <c r="AV115" s="595" t="s">
        <v>1840</v>
      </c>
      <c r="AW115" s="536" t="s">
        <v>1841</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1759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3 Bedrooms</v>
      </c>
      <c r="AQ117" s="536">
        <f>Application!O723</f>
        <v>2026</v>
      </c>
      <c r="AU117" s="856" t="str">
        <f>J124</f>
        <v>1-bedroom</v>
      </c>
      <c r="AV117" s="536">
        <f t="array" ref="AV117">SUM(IF(Application!B718:F752="1 Bedroom",Application!G718:J752))</f>
        <v>63</v>
      </c>
      <c r="AW117" s="1011">
        <f>AV117/AV122</f>
        <v>0.38650306748466257</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1 Bedroom</v>
      </c>
      <c r="AQ118" s="536">
        <f>Application!O724</f>
        <v>1767</v>
      </c>
      <c r="AU118" s="856" t="str">
        <f>O124</f>
        <v>2-bedroom</v>
      </c>
      <c r="AV118" s="536">
        <f t="array" ref="AV118">SUM(IF(Application!B718:F752="2 Bedrooms",Application!G718:J752))</f>
        <v>48</v>
      </c>
      <c r="AW118" s="1011">
        <f>AV118/AV122</f>
        <v>0.29447852760736198</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2 Bedrooms</v>
      </c>
      <c r="AQ119" s="536">
        <f>Application!O725</f>
        <v>2119</v>
      </c>
      <c r="AU119" s="856" t="str">
        <f>T124</f>
        <v>3-bedroom</v>
      </c>
      <c r="AV119" s="536">
        <f t="array" ref="AV119">SUM(IF(Application!B718:F752="3 Bedrooms",Application!G718:J752))</f>
        <v>52</v>
      </c>
      <c r="AW119" s="1011">
        <f>AV119/AV122</f>
        <v>0.31901840490797545</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3 Bedrooms</v>
      </c>
      <c r="AQ120" s="536">
        <f>Application!O726</f>
        <v>2442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163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1587</v>
      </c>
      <c r="F124" s="2393"/>
      <c r="G124" s="2393"/>
      <c r="H124" s="2393"/>
      <c r="I124" s="577"/>
      <c r="J124" s="2393" t="s">
        <v>1630</v>
      </c>
      <c r="K124" s="2393"/>
      <c r="L124" s="2393"/>
      <c r="M124" s="2393"/>
      <c r="N124" s="577"/>
      <c r="O124" s="2393" t="s">
        <v>1631</v>
      </c>
      <c r="P124" s="2393"/>
      <c r="Q124" s="2393"/>
      <c r="R124" s="2393"/>
      <c r="S124" s="577"/>
      <c r="T124" s="2393" t="s">
        <v>1333</v>
      </c>
      <c r="U124" s="2393"/>
      <c r="V124" s="2393"/>
      <c r="W124" s="2393"/>
      <c r="X124" s="577"/>
      <c r="Y124" s="2393" t="s">
        <v>1632</v>
      </c>
      <c r="Z124" s="2393"/>
      <c r="AA124" s="2393"/>
      <c r="AB124" s="2393"/>
      <c r="AC124" s="577"/>
      <c r="AD124" s="2393" t="s">
        <v>1633</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v>0</v>
      </c>
      <c r="F127" s="2453"/>
      <c r="G127" s="2453"/>
      <c r="H127" s="2453"/>
      <c r="I127" s="864"/>
      <c r="J127" s="2453">
        <v>2275</v>
      </c>
      <c r="K127" s="2453"/>
      <c r="L127" s="2453"/>
      <c r="M127" s="2453"/>
      <c r="N127" s="864"/>
      <c r="O127" s="2453">
        <v>2457</v>
      </c>
      <c r="P127" s="2453"/>
      <c r="Q127" s="2453"/>
      <c r="R127" s="2453"/>
      <c r="S127" s="864"/>
      <c r="T127" s="2453">
        <v>2908</v>
      </c>
      <c r="U127" s="2453"/>
      <c r="V127" s="2453"/>
      <c r="W127" s="2453"/>
      <c r="X127" s="864"/>
      <c r="Y127" s="2453">
        <v>0</v>
      </c>
      <c r="Z127" s="2453"/>
      <c r="AA127" s="2453"/>
      <c r="AB127" s="2453"/>
      <c r="AC127" s="864"/>
      <c r="AD127" s="2453">
        <v>0</v>
      </c>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1595.6825396825398</v>
      </c>
      <c r="K130" s="2446"/>
      <c r="L130" s="2446"/>
      <c r="M130" s="2446"/>
      <c r="N130" s="864"/>
      <c r="O130" s="2446">
        <f>Application!EH670</f>
        <v>1909.1041666666665</v>
      </c>
      <c r="P130" s="2446"/>
      <c r="Q130" s="2446"/>
      <c r="R130" s="2446"/>
      <c r="S130" s="868"/>
      <c r="T130" s="2446">
        <f>Application!EM670</f>
        <v>2218.0961538461538</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0.29860108145822428</v>
      </c>
      <c r="K133" s="2395"/>
      <c r="L133" s="2395"/>
      <c r="M133" s="2645"/>
      <c r="N133" s="577"/>
      <c r="O133" s="2644">
        <f>(O127-O130)/O127</f>
        <v>0.2229938271604939</v>
      </c>
      <c r="P133" s="2395"/>
      <c r="Q133" s="2395"/>
      <c r="R133" s="2645"/>
      <c r="S133" s="577"/>
      <c r="T133" s="2644">
        <f>(T127-T130)/T127</f>
        <v>0.23724341339540791</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7.6759927189375021E-2</v>
      </c>
      <c r="K136" s="2448"/>
      <c r="L136" s="2448"/>
      <c r="M136" s="2449"/>
      <c r="N136" s="577"/>
      <c r="O136" s="2447">
        <f>IF(((O133-0.1)*AW118)&gt;0,((O133-0.1)*AW118),0)</f>
        <v>3.6219041127016613E-2</v>
      </c>
      <c r="P136" s="2448"/>
      <c r="Q136" s="2448"/>
      <c r="R136" s="2449"/>
      <c r="S136" s="577"/>
      <c r="T136" s="2447">
        <f>IF(((T133-0.1)*AW119)&gt;0,((T133-0.1)*AW119),0)</f>
        <v>4.3783174825528903E-2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0.15</v>
      </c>
      <c r="F138" s="2395"/>
      <c r="G138" s="2395"/>
      <c r="H138" s="2645"/>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8" t="s">
        <v>1313</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1337</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tr">
        <f>Application!M251</f>
        <v>Pacific Housing, Inc.</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0" t="s">
        <v>1340</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0" t="s">
        <v>1342</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2476</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2477</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2475</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1351</v>
      </c>
      <c r="AG168" s="2443"/>
      <c r="AH168" s="2443"/>
      <c r="AI168" s="2443"/>
      <c r="AJ168" s="2443"/>
      <c r="AK168" s="2443"/>
      <c r="AL168" s="2443"/>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1349</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0" t="s">
        <v>1342</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2" t="str">
        <f>Application!AA335</f>
        <v>WinnResidential California LP</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1313</v>
      </c>
      <c r="AF186" s="2408"/>
      <c r="AG186" s="2408"/>
      <c r="AH186" s="2408"/>
      <c r="AI186" s="2408"/>
      <c r="AJ186" s="2408"/>
      <c r="AK186" s="2408"/>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8" t="s">
        <v>1366</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1362</v>
      </c>
      <c r="AG188" s="2443"/>
      <c r="AH188" s="2443"/>
      <c r="AI188" s="2443"/>
      <c r="AJ188" s="2443"/>
      <c r="AK188" s="2443"/>
      <c r="AL188" s="2443"/>
      <c r="AN188" s="597"/>
      <c r="AP188" s="550" t="s">
        <v>1042</v>
      </c>
      <c r="AQ188" s="550">
        <v>10</v>
      </c>
    </row>
    <row r="189" spans="1:73" s="550" customFormat="1" ht="12.75" customHeight="1">
      <c r="A189" s="536"/>
      <c r="B189" s="2469" t="s">
        <v>1725</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8">
        <f>IF(AK84&gt;0,VLOOKUP($B$188,AP185:AQ191,2,FALSE),0)</f>
        <v>10</v>
      </c>
      <c r="AL191" s="2479"/>
      <c r="AM191" s="2480"/>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1371</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tr">
        <f>Application!C555</f>
        <v>Berkadia</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Application!AM555</f>
        <v>5816902</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1626</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1589</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5816902</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1606</v>
      </c>
      <c r="J222" s="2459"/>
      <c r="K222" s="2459"/>
      <c r="L222" s="536"/>
      <c r="M222" s="536"/>
      <c r="N222" s="536"/>
      <c r="O222" s="536"/>
      <c r="P222" s="536"/>
      <c r="Q222" s="536"/>
      <c r="R222" s="536"/>
      <c r="S222" s="536"/>
      <c r="T222" s="2647" t="s">
        <v>1600</v>
      </c>
      <c r="U222" s="2647"/>
      <c r="V222" s="2647"/>
      <c r="W222" s="2647"/>
      <c r="X222" s="2647"/>
      <c r="Y222" s="2647"/>
      <c r="Z222" s="849"/>
      <c r="AA222" s="489"/>
      <c r="AB222" s="2454" t="s">
        <v>1601</v>
      </c>
      <c r="AC222" s="2454"/>
      <c r="AD222" s="2454"/>
      <c r="AE222" s="2454"/>
      <c r="AF222" s="2454"/>
      <c r="AG222" s="2454"/>
      <c r="AH222" s="827"/>
      <c r="AI222" s="827"/>
      <c r="AJ222" s="827"/>
      <c r="AK222" s="610"/>
    </row>
    <row r="223" spans="1:37">
      <c r="A223" s="605"/>
      <c r="B223" s="2457" t="s">
        <v>1586</v>
      </c>
      <c r="C223" s="2457"/>
      <c r="D223" s="2457"/>
      <c r="E223" s="2457"/>
      <c r="F223" s="2457"/>
      <c r="G223" s="2457"/>
      <c r="I223" s="2458" t="s">
        <v>1607</v>
      </c>
      <c r="J223" s="2458"/>
      <c r="K223" s="2458"/>
      <c r="L223" s="1008"/>
      <c r="N223" s="2464" t="s">
        <v>1602</v>
      </c>
      <c r="O223" s="2464"/>
      <c r="P223" s="2464"/>
      <c r="Q223" s="2464"/>
      <c r="R223" s="2464"/>
      <c r="T223" s="2464" t="s">
        <v>1603</v>
      </c>
      <c r="U223" s="2464"/>
      <c r="V223" s="2464"/>
      <c r="W223" s="2464"/>
      <c r="X223" s="2464"/>
      <c r="Y223" s="2464"/>
      <c r="Z223" s="850"/>
      <c r="AA223" s="489"/>
      <c r="AB223" s="2601" t="s">
        <v>1604</v>
      </c>
      <c r="AC223" s="2601"/>
      <c r="AD223" s="2601"/>
      <c r="AE223" s="2601"/>
      <c r="AF223" s="2601"/>
      <c r="AG223" s="2601"/>
      <c r="AH223" s="827"/>
      <c r="AI223" s="827"/>
      <c r="AJ223" s="827"/>
      <c r="AK223" s="610"/>
    </row>
    <row r="224" spans="1:37">
      <c r="A224" s="605"/>
      <c r="B224" s="2461" t="s">
        <v>1183</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1183</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1183</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1183</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1183</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1183</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1183</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1183</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1183</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1183</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5816902</v>
      </c>
      <c r="AH268" s="2481"/>
      <c r="AI268" s="2481"/>
      <c r="AJ268" s="2481"/>
      <c r="AK268" s="2481"/>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72696647</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0.08</v>
      </c>
      <c r="AH270" s="2482"/>
      <c r="AI270" s="2482"/>
      <c r="AJ270" s="2482"/>
      <c r="AK270" s="2482"/>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545</v>
      </c>
      <c r="D278" s="2475"/>
      <c r="E278" s="547"/>
      <c r="F278" s="2632" t="s">
        <v>2024</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1362</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1381</v>
      </c>
      <c r="B292" s="1628"/>
      <c r="C292" s="2471" t="s">
        <v>591</v>
      </c>
      <c r="D292" s="2475"/>
      <c r="E292" s="547"/>
      <c r="F292" s="2503" t="s">
        <v>1382</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2017</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2025</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1383</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1384</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1385</v>
      </c>
      <c r="B302" s="1628"/>
      <c r="C302" s="2475" t="s">
        <v>545</v>
      </c>
      <c r="D302" s="247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5" t="s">
        <v>2019</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1388</v>
      </c>
      <c r="B310" s="1628"/>
      <c r="C310" s="2475" t="s">
        <v>591</v>
      </c>
      <c r="D310" s="2475"/>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7" t="s">
        <v>2026</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1183</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1183</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13" t="s">
        <v>1183</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3" t="s">
        <v>1183</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8" t="s">
        <v>1391</v>
      </c>
      <c r="B333" s="1628"/>
      <c r="C333" s="2475" t="s">
        <v>591</v>
      </c>
      <c r="D333" s="2475"/>
      <c r="E333" s="547"/>
      <c r="F333" s="2399" t="s">
        <v>2027</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08" t="s">
        <v>1313</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1453</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2092</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2207</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1454</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1455</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1456</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1878</v>
      </c>
    </row>
    <row r="362" spans="1:46" s="550" customFormat="1" ht="12.75" customHeight="1">
      <c r="A362" s="603"/>
      <c r="B362" s="611"/>
      <c r="C362" s="2539" t="s">
        <v>2232</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5</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1457</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5">
        <f>Application!DU802-U374</f>
        <v>315</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1" t="s">
        <v>1459</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591</v>
      </c>
      <c r="D381" s="2475"/>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1461</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1" t="s">
        <v>1462</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1461</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1" t="s">
        <v>1464</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591</v>
      </c>
      <c r="D397" s="2475"/>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1466</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545</v>
      </c>
      <c r="D399" s="2475"/>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1461</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1" t="s">
        <v>1470</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1461</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591</v>
      </c>
      <c r="D409" s="2475"/>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1473</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1474</v>
      </c>
      <c r="F412" s="2521" t="s">
        <v>1475</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1461</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1" t="s">
        <v>1477</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545</v>
      </c>
      <c r="D421" s="2475"/>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1461</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1473</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1" t="s">
        <v>1481</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1461</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21" t="s">
        <v>1484</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1461</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1" t="s">
        <v>1487</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1461</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1496</v>
      </c>
      <c r="F453" s="2521" t="s">
        <v>1497</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1461</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1502</v>
      </c>
      <c r="F457" s="2521" t="s">
        <v>1503</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1461</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1" t="s">
        <v>1506</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1461</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9" t="s">
        <v>1510</v>
      </c>
      <c r="AF472" s="2519"/>
      <c r="AG472" s="2519"/>
      <c r="AH472" s="2519"/>
      <c r="AI472" s="2519"/>
      <c r="AJ472" s="2519"/>
      <c r="AK472" s="2519"/>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4" t="s">
        <v>591</v>
      </c>
      <c r="D478" s="2545"/>
      <c r="E478" s="761" t="s">
        <v>507</v>
      </c>
      <c r="F478" s="2546" t="s">
        <v>1516</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1516</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1538</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591</v>
      </c>
      <c r="D510" s="254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1546</v>
      </c>
      <c r="G519" s="2522" t="s">
        <v>1547</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1559</v>
      </c>
      <c r="AF538" s="2408"/>
      <c r="AG538" s="2408"/>
      <c r="AH538" s="2408"/>
      <c r="AI538" s="2408"/>
      <c r="AJ538" s="2408"/>
      <c r="AK538" s="2408"/>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1560</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1562</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1563</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111129386</v>
      </c>
      <c r="AQ550" s="2624"/>
      <c r="AR550" s="2624"/>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70145547</v>
      </c>
      <c r="AG551" s="2481"/>
      <c r="AH551" s="2481"/>
      <c r="AI551" s="2481"/>
      <c r="AJ551" s="2481"/>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172250548.69999999</v>
      </c>
      <c r="AG552" s="2629"/>
      <c r="AH552" s="2629"/>
      <c r="AI552" s="2629"/>
      <c r="AJ552" s="2629"/>
      <c r="AK552" s="595"/>
      <c r="AL552" s="595"/>
      <c r="AM552" s="595"/>
      <c r="AN552" s="597"/>
      <c r="AP552" s="2624">
        <f>Application!AJ1045</f>
        <v>27782346.5</v>
      </c>
      <c r="AQ552" s="2624"/>
      <c r="AR552" s="26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0.59</v>
      </c>
      <c r="AG553" s="2630"/>
      <c r="AH553" s="2630"/>
      <c r="AI553" s="2630"/>
      <c r="AJ553" s="2630"/>
      <c r="AK553" s="595"/>
      <c r="AL553" s="595"/>
      <c r="AM553" s="595"/>
      <c r="AN553" s="597"/>
      <c r="AP553" s="2627">
        <f>Application!AJ1049</f>
        <v>22225877.200000003</v>
      </c>
      <c r="AQ553" s="2627"/>
      <c r="AR553" s="262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0.45</v>
      </c>
      <c r="AQ554" s="2623"/>
      <c r="AR554" s="2623"/>
      <c r="AS554" s="550" t="s">
        <v>2171</v>
      </c>
    </row>
    <row r="555" spans="1:49" s="550" customFormat="1" ht="12.75" customHeight="1">
      <c r="A555" s="624"/>
      <c r="B555" s="2560" t="s">
        <v>2031</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122242324.99999999</v>
      </c>
      <c r="AQ556" s="2533"/>
      <c r="AR556" s="2533"/>
      <c r="AS556" s="550" t="s">
        <v>2173</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172250548.69999999</v>
      </c>
      <c r="AQ557" s="2624"/>
      <c r="AR557" s="26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9">
        <f>IFERROR(IF(AND(C541="N/A",C544="N/A"),0,IF(AF553=0,0,IF((AF553*100)&gt;12,12,(AF553*100)))),0)</f>
        <v>12</v>
      </c>
      <c r="AL559" s="2569"/>
      <c r="AM559" s="2570"/>
      <c r="AN559" s="597"/>
      <c r="AP559" s="2641">
        <f>AP556+(AP550*AP554)</f>
        <v>172250548.69999999</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1313</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2022</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1337</v>
      </c>
      <c r="AG578" s="2443"/>
      <c r="AH578" s="2443"/>
      <c r="AI578" s="2443"/>
      <c r="AJ578" s="2443"/>
      <c r="AK578" s="2443"/>
      <c r="AL578" s="2443"/>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1395</v>
      </c>
      <c r="AG585" s="2443"/>
      <c r="AH585" s="2443"/>
      <c r="AI585" s="2443"/>
      <c r="AJ585" s="2443"/>
      <c r="AK585" s="2443"/>
      <c r="AL585" s="2443"/>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1377</v>
      </c>
      <c r="AG591" s="2443"/>
      <c r="AH591" s="2443"/>
      <c r="AI591" s="2443"/>
      <c r="AJ591" s="2443"/>
      <c r="AK591" s="2443"/>
      <c r="AL591" s="2443"/>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1398</v>
      </c>
      <c r="AG597" s="2443"/>
      <c r="AH597" s="2443"/>
      <c r="AI597" s="2443"/>
      <c r="AJ597" s="2443"/>
      <c r="AK597" s="2443"/>
      <c r="AL597" s="2443"/>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9" t="s">
        <v>1183</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1351</v>
      </c>
      <c r="AG603" s="2443"/>
      <c r="AH603" s="2443"/>
      <c r="AI603" s="2443"/>
      <c r="AJ603" s="2443"/>
      <c r="AK603" s="2443"/>
      <c r="AL603" s="2443"/>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7" t="s">
        <v>687</v>
      </c>
      <c r="I606" s="2527"/>
      <c r="J606" s="936"/>
      <c r="K606" s="936"/>
      <c r="L606" s="936"/>
      <c r="N606" s="22"/>
      <c r="O606" s="22"/>
      <c r="P606" s="22"/>
      <c r="Q606" s="1151" t="s">
        <v>2176</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1" t="s">
        <v>591</v>
      </c>
      <c r="C616" s="2471"/>
      <c r="D616" s="642"/>
      <c r="E616" s="2498" t="s">
        <v>1402</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1693</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1351</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1407</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7" t="s">
        <v>687</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8">
        <f>VLOOKUP($H$638,$AO$605:$AP$607,2,FALSE)</f>
        <v>3</v>
      </c>
      <c r="AK640" s="2480"/>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2097</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1351</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1407</v>
      </c>
      <c r="AG647" s="2443"/>
      <c r="AH647" s="2443"/>
      <c r="AI647" s="2443"/>
      <c r="AJ647" s="2443"/>
      <c r="AK647" s="2443"/>
      <c r="AL647" s="2443"/>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7" t="s">
        <v>591</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1417</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1377</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1418</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1398</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1419</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1351</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8" t="s">
        <v>1420</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1398</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8" t="s">
        <v>1421</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1351</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8" t="s">
        <v>1422</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1407</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8" t="s">
        <v>1423</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1424</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7" t="s">
        <v>687</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163</v>
      </c>
    </row>
    <row r="691" spans="1:51" s="550" customFormat="1" ht="12.75" customHeight="1">
      <c r="A691" s="679"/>
      <c r="B691" s="536"/>
      <c r="C691" s="948"/>
      <c r="D691" s="663" t="s">
        <v>687</v>
      </c>
      <c r="E691" s="2534" t="s">
        <v>2189</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1351</v>
      </c>
      <c r="AG691" s="2443"/>
      <c r="AH691" s="2443"/>
      <c r="AI691" s="2443"/>
      <c r="AJ691" s="2443"/>
      <c r="AK691" s="2443"/>
      <c r="AL691" s="2443"/>
      <c r="AN691" s="597"/>
      <c r="AW691" s="22" t="s">
        <v>2184</v>
      </c>
      <c r="AX691" s="550">
        <f>Application!DE753</f>
        <v>52</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8" t="s">
        <v>2133</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1351</v>
      </c>
      <c r="AG694" s="2443"/>
      <c r="AH694" s="2443"/>
      <c r="AI694" s="2443"/>
      <c r="AJ694" s="2443"/>
      <c r="AK694" s="2443"/>
      <c r="AL694" s="2443"/>
      <c r="AN694" s="597"/>
      <c r="AW694" s="22" t="s">
        <v>2187</v>
      </c>
      <c r="AX694" s="550">
        <f>AX691+AX692+AX693</f>
        <v>52</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2188</v>
      </c>
      <c r="AX695" s="550">
        <f>IFERROR(AX694/AX690,0)</f>
        <v>0.31901840490797545</v>
      </c>
      <c r="AY695" s="550">
        <f>IFERROR(AX694/(AX690-AX689),0)</f>
        <v>0.31901840490797545</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8" t="s">
        <v>2134</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1407</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1692</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7" t="s">
        <v>687</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8">
        <f>VLOOKUP($H$709,$AO$703:$AP$706,2,FALSE)</f>
        <v>3</v>
      </c>
      <c r="AK711" s="2480"/>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5" t="s">
        <v>1694</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1351</v>
      </c>
      <c r="AG715" s="2443"/>
      <c r="AH715" s="2443"/>
      <c r="AI715" s="2443"/>
      <c r="AJ715" s="2443"/>
      <c r="AK715" s="2443"/>
      <c r="AL715" s="2443"/>
      <c r="AM715" s="550"/>
      <c r="AN715" s="684"/>
      <c r="AP715" s="570" t="s">
        <v>1431</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6" t="s">
        <v>1434</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1407</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8" t="s">
        <v>1695</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1351</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1438</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1407</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8" t="s">
        <v>1441</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1351</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8" t="s">
        <v>1442</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1407</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7" t="s">
        <v>687</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8" t="s">
        <v>1444</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1407</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8" t="s">
        <v>1445</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1424</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7" t="s">
        <v>687</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8" t="s">
        <v>1691</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1407</v>
      </c>
      <c r="AG769" s="2443"/>
      <c r="AH769" s="2443"/>
      <c r="AI769" s="2443"/>
      <c r="AJ769" s="2443"/>
      <c r="AK769" s="2443"/>
      <c r="AL769" s="2443"/>
      <c r="AM769" s="613"/>
      <c r="AN769" s="684"/>
      <c r="AO769" s="550" t="s">
        <v>591</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1696</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1351</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8" t="s">
        <v>2032</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1351</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1567</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1568</v>
      </c>
      <c r="U802" s="2575"/>
      <c r="V802" s="2575"/>
      <c r="W802" s="2575"/>
      <c r="X802" s="2575"/>
      <c r="Y802" s="2576"/>
      <c r="Z802" s="2574" t="s">
        <v>1569</v>
      </c>
      <c r="AA802" s="2575"/>
      <c r="AB802" s="2575"/>
      <c r="AC802" s="2575"/>
      <c r="AD802" s="2575"/>
      <c r="AE802" s="2576"/>
      <c r="AF802" s="2574" t="s">
        <v>1570</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757</v>
      </c>
      <c r="B804" s="2554" t="s">
        <v>1303</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1540</v>
      </c>
      <c r="B805" s="2554" t="s">
        <v>1312</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1549</v>
      </c>
      <c r="B806" s="2554" t="s">
        <v>1322</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1571</v>
      </c>
      <c r="B807" s="2554" t="s">
        <v>1332</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1572</v>
      </c>
      <c r="B808" s="2554" t="s">
        <v>1573</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1574</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1575</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1360</v>
      </c>
      <c r="B811" s="2554" t="s">
        <v>1576</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1369</v>
      </c>
      <c r="B812" s="2554" t="s">
        <v>1370</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589</v>
      </c>
      <c r="B813" s="2554" t="s">
        <v>1577</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4" t="s">
        <v>1578</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4" t="s">
        <v>1380</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4" t="s">
        <v>1558</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4" t="s">
        <v>1580</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1581</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1582</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1583</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2025-05-20T03:44:55Z</dcterms:modified>
</cp:coreProperties>
</file>