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randrusz\Castellan Dropbox\Ryan Andrusz\HamAdv-CRP shared folder\2025 4% R2 CDLAC &amp; Conduit Apps\Hillcrest Hall - SDHC\PART 6-6.1.TCAC Requirements 1-6\"/>
    </mc:Choice>
  </mc:AlternateContent>
  <xr:revisionPtr revIDLastSave="0" documentId="13_ncr:1_{BB593F13-2634-4DD2-B47E-8042CC2ADCDD}" xr6:coauthVersionLast="47" xr6:coauthVersionMax="47" xr10:uidLastSave="{00000000-0000-0000-0000-000000000000}"/>
  <bookViews>
    <workbookView xWindow="-57720" yWindow="-1995" windowWidth="29040" windowHeight="17640" firstSheet="7"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27" i="3" l="1"/>
  <c r="G53" i="7"/>
  <c r="S45" i="4"/>
  <c r="G43" i="4" a="1"/>
  <c r="G43" i="4" s="1"/>
  <c r="E30" i="4"/>
  <c r="E99" i="4"/>
  <c r="E95" i="4"/>
  <c r="E84" i="4"/>
  <c r="E85" i="4"/>
  <c r="E86" i="4"/>
  <c r="E88" i="4"/>
  <c r="E89" i="4"/>
  <c r="E90" i="4"/>
  <c r="E91" i="4"/>
  <c r="E92" i="4"/>
  <c r="E93" i="4"/>
  <c r="E94" i="4"/>
  <c r="E83" i="4"/>
  <c r="E80" i="4"/>
  <c r="E79" i="4"/>
  <c r="E75" i="4"/>
  <c r="C69" i="4"/>
  <c r="E69" i="4" s="1"/>
  <c r="C45" i="4"/>
  <c r="E45" i="4" s="1"/>
  <c r="E47" i="4" l="1"/>
  <c r="E49" i="4"/>
  <c r="E50" i="4"/>
  <c r="E51" i="4"/>
  <c r="E52" i="4"/>
  <c r="E53" i="4"/>
  <c r="E46" i="4"/>
  <c r="H33" i="4"/>
  <c r="F32" i="4"/>
  <c r="F31" i="4"/>
  <c r="AO640" i="3" l="1"/>
  <c r="Q627" i="3" l="1"/>
  <c r="AG446" i="3" l="1"/>
  <c r="AG448" i="3" s="1"/>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T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S48" i="21"/>
  <c r="R48" i="21" a="1"/>
  <c r="R48" i="21" s="1"/>
  <c r="U49" i="21"/>
  <c r="P49" i="21" a="1"/>
  <c r="P49" i="21" s="1"/>
  <c r="U46" i="21"/>
  <c r="U51" i="21"/>
  <c r="U50" i="21"/>
  <c r="U53" i="21"/>
  <c r="S50" i="21"/>
  <c r="O50" i="21"/>
  <c r="P52" i="21" a="1"/>
  <c r="P52" i="21" s="1"/>
  <c r="P50" i="21" a="1"/>
  <c r="P50" i="21" s="1"/>
  <c r="R51" i="21" a="1"/>
  <c r="R51" i="21" s="1"/>
  <c r="S46" i="21"/>
  <c r="U47" i="21"/>
  <c r="P51" i="21" a="1"/>
  <c r="P51" i="21" s="1"/>
  <c r="S49" i="21"/>
  <c r="T47" i="21"/>
  <c r="S47" i="21"/>
  <c r="R53" i="21" a="1"/>
  <c r="R53" i="21" s="1"/>
  <c r="O49" i="21"/>
  <c r="R47" i="21" a="1"/>
  <c r="R47" i="21" s="1"/>
  <c r="S52" i="21"/>
  <c r="R49" i="21" a="1"/>
  <c r="R49" i="21" s="1"/>
  <c r="T51" i="21"/>
  <c r="U48" i="21"/>
  <c r="T53" i="21"/>
  <c r="S51" i="21"/>
  <c r="T48" i="21"/>
  <c r="P48" i="21" a="1"/>
  <c r="P48" i="21" s="1"/>
  <c r="T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S91" i="4" s="1"/>
  <c r="E91" i="13" s="1"/>
  <c r="F91" i="13" s="1"/>
  <c r="R84" i="4"/>
  <c r="S84" i="4" s="1"/>
  <c r="E84" i="13" s="1"/>
  <c r="F84" i="13" s="1"/>
  <c r="B59" i="4"/>
  <c r="C80" i="11"/>
  <c r="C81" i="11"/>
  <c r="B80" i="11"/>
  <c r="B81" i="11"/>
  <c r="I96" i="13"/>
  <c r="J96" i="13"/>
  <c r="J81" i="13"/>
  <c r="I81" i="13"/>
  <c r="G81" i="13"/>
  <c r="D81" i="13"/>
  <c r="H80" i="13"/>
  <c r="E80" i="13"/>
  <c r="F80" i="13" s="1"/>
  <c r="B80" i="13"/>
  <c r="C80" i="13" s="1"/>
  <c r="R80" i="4"/>
  <c r="R79" i="4"/>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87" i="13"/>
  <c r="E79" i="13"/>
  <c r="F79" i="13" s="1"/>
  <c r="E51" i="13"/>
  <c r="E50" i="13"/>
  <c r="F50" i="13" s="1"/>
  <c r="E48" i="13"/>
  <c r="E47" i="13"/>
  <c r="F47" i="13" s="1"/>
  <c r="E46" i="13"/>
  <c r="F46" i="13" s="1"/>
  <c r="E45" i="13"/>
  <c r="F45" i="13" s="1"/>
  <c r="E41" i="13"/>
  <c r="E37" i="13"/>
  <c r="E34" i="13"/>
  <c r="E27" i="13"/>
  <c r="E25" i="13"/>
  <c r="E23" i="13"/>
  <c r="E22" i="13"/>
  <c r="E21" i="13"/>
  <c r="E20" i="13"/>
  <c r="E19" i="13"/>
  <c r="E18" i="13"/>
  <c r="E17" i="13"/>
  <c r="E15" i="13"/>
  <c r="E14" i="13"/>
  <c r="E13" i="13"/>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B50" i="13"/>
  <c r="C50" i="13" s="1"/>
  <c r="B49" i="13"/>
  <c r="C49" i="13" s="1"/>
  <c r="B48" i="13"/>
  <c r="B47" i="13"/>
  <c r="C47" i="13" s="1"/>
  <c r="B46" i="13"/>
  <c r="C46" i="13" s="1"/>
  <c r="B45" i="13"/>
  <c r="C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C5" i="13" s="1"/>
  <c r="C8" i="13" s="1"/>
  <c r="B6" i="13"/>
  <c r="B7" i="13"/>
  <c r="C8" i="4"/>
  <c r="B8" i="13" s="1"/>
  <c r="B9" i="13"/>
  <c r="B10" i="13"/>
  <c r="C10" i="13" s="1"/>
  <c r="C11" i="13" s="1"/>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R86" i="4"/>
  <c r="S86" i="4" s="1"/>
  <c r="R85" i="4"/>
  <c r="S85" i="4" s="1"/>
  <c r="E85" i="13" s="1"/>
  <c r="F85" i="13" s="1"/>
  <c r="R83" i="4"/>
  <c r="R76" i="4"/>
  <c r="R75" i="4"/>
  <c r="R72" i="4"/>
  <c r="R73" i="4"/>
  <c r="R74" i="4"/>
  <c r="R69" i="4"/>
  <c r="R65" i="4"/>
  <c r="S65" i="4" s="1"/>
  <c r="E65" i="13" s="1"/>
  <c r="F65" i="13" s="1"/>
  <c r="R61" i="4"/>
  <c r="R60" i="4"/>
  <c r="R59" i="4"/>
  <c r="R58" i="4"/>
  <c r="R57" i="4"/>
  <c r="R56" i="4"/>
  <c r="R53" i="4"/>
  <c r="S53" i="4" s="1"/>
  <c r="E53" i="13" s="1"/>
  <c r="F53" i="13" s="1"/>
  <c r="R52" i="4"/>
  <c r="S52" i="4" s="1"/>
  <c r="E52" i="13" s="1"/>
  <c r="F52" i="13" s="1"/>
  <c r="R51" i="4"/>
  <c r="R50" i="4"/>
  <c r="R49" i="4"/>
  <c r="S49" i="4" s="1"/>
  <c r="R48" i="4"/>
  <c r="R47" i="4"/>
  <c r="R46" i="4"/>
  <c r="R45" i="4"/>
  <c r="R43" i="4"/>
  <c r="S43" i="4" s="1"/>
  <c r="E43" i="13" s="1"/>
  <c r="F43" i="13" s="1"/>
  <c r="R41" i="4"/>
  <c r="R40" i="4"/>
  <c r="S40" i="4" s="1"/>
  <c r="S42" i="4" s="1"/>
  <c r="E42" i="13" s="1"/>
  <c r="R37" i="4"/>
  <c r="R35" i="4"/>
  <c r="S35" i="4" s="1"/>
  <c r="E35" i="13" s="1"/>
  <c r="F35" i="13" s="1"/>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1" i="3"/>
  <c r="X732" i="3"/>
  <c r="X733" i="3"/>
  <c r="X734" i="3"/>
  <c r="X735" i="3"/>
  <c r="X736" i="3"/>
  <c r="X737" i="3"/>
  <c r="X738" i="3"/>
  <c r="X739" i="3"/>
  <c r="X740" i="3"/>
  <c r="X741" i="3"/>
  <c r="M832" i="3"/>
  <c r="Q832" i="3"/>
  <c r="T718" i="3" s="1"/>
  <c r="T719" i="3" s="1"/>
  <c r="T720" i="3" s="1"/>
  <c r="T721" i="3" s="1"/>
  <c r="X721" i="3" s="1"/>
  <c r="U832" i="3"/>
  <c r="T722" i="3" s="1"/>
  <c r="T723" i="3" s="1"/>
  <c r="T724" i="3" s="1"/>
  <c r="T725" i="3" s="1"/>
  <c r="X726" i="3" s="1"/>
  <c r="AH726" i="3" s="1"/>
  <c r="Y832" i="3"/>
  <c r="T727" i="3" s="1"/>
  <c r="T728" i="3" s="1"/>
  <c r="T729" i="3" s="1"/>
  <c r="X730" i="3" s="1"/>
  <c r="AH730" i="3" s="1"/>
  <c r="AC832" i="3"/>
  <c r="AG832" i="3"/>
  <c r="Z902" i="3"/>
  <c r="F81" i="13" l="1"/>
  <c r="F70" i="13"/>
  <c r="S54" i="4"/>
  <c r="E54" i="13" s="1"/>
  <c r="D35" i="11"/>
  <c r="D94" i="11"/>
  <c r="E49" i="13"/>
  <c r="F49" i="13" s="1"/>
  <c r="F54" i="13" s="1"/>
  <c r="C70" i="13"/>
  <c r="F38" i="13"/>
  <c r="C62" i="13"/>
  <c r="S70" i="4"/>
  <c r="E70" i="13" s="1"/>
  <c r="X725" i="3"/>
  <c r="AH725" i="3" s="1"/>
  <c r="C81" i="13"/>
  <c r="S38" i="4"/>
  <c r="E38" i="13" s="1"/>
  <c r="S96" i="4"/>
  <c r="E96" i="13" s="1"/>
  <c r="C38" i="13"/>
  <c r="C54" i="13"/>
  <c r="C96" i="13"/>
  <c r="X724" i="3"/>
  <c r="AH724" i="3" s="1"/>
  <c r="S104" i="4"/>
  <c r="BA1058" i="3" s="1"/>
  <c r="E40" i="13"/>
  <c r="F40" i="13" s="1"/>
  <c r="F42" i="13" s="1"/>
  <c r="X722" i="3"/>
  <c r="AH722" i="3" s="1"/>
  <c r="E86" i="13"/>
  <c r="F86" i="13" s="1"/>
  <c r="F96" i="13" s="1"/>
  <c r="X723" i="3"/>
  <c r="AH723" i="3" s="1"/>
  <c r="X728" i="3"/>
  <c r="AH728" i="3" s="1"/>
  <c r="X729" i="3"/>
  <c r="AH729" i="3" s="1"/>
  <c r="D36" i="11"/>
  <c r="X720" i="3"/>
  <c r="AH720" i="3" s="1"/>
  <c r="X727" i="3"/>
  <c r="AH727" i="3" s="1"/>
  <c r="X719" i="3"/>
  <c r="AH719" i="3" s="1"/>
  <c r="X718" i="3"/>
  <c r="AH718" i="3" s="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C63" i="13"/>
  <c r="C97" i="13" s="1"/>
  <c r="C105" i="13" s="1"/>
  <c r="F63" i="13"/>
  <c r="F97" i="13" s="1"/>
  <c r="F105" i="13" s="1"/>
  <c r="F107" i="13" s="1"/>
  <c r="AJ621" i="20"/>
  <c r="G94" i="21"/>
  <c r="E104" i="13"/>
  <c r="S63" i="4"/>
  <c r="E63" i="13"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E97" i="13" s="1"/>
  <c r="O24" i="21"/>
  <c r="P24" i="21" s="1" a="1"/>
  <c r="P24" i="21" s="1"/>
  <c r="S24" i="21" s="1"/>
  <c r="O23" i="21"/>
  <c r="O26" i="21"/>
  <c r="P26" i="21" s="1" a="1"/>
  <c r="P26" i="21" s="1"/>
  <c r="S26" i="21" s="1"/>
  <c r="O25" i="21"/>
  <c r="P25" i="21" s="1" a="1"/>
  <c r="P25" i="21" s="1"/>
  <c r="S25" i="21" s="1"/>
  <c r="O27" i="21"/>
  <c r="P27" i="21" s="1" a="1"/>
  <c r="P27" i="21" s="1"/>
  <c r="S27" i="21" s="1"/>
  <c r="O22" i="21"/>
  <c r="P22" i="21" s="1" a="1"/>
  <c r="P22" i="21" s="1"/>
  <c r="S22"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1" i="21"/>
  <c r="P21" i="21" s="1" a="1"/>
  <c r="P21" i="21" s="1"/>
  <c r="S21" i="21" s="1"/>
  <c r="D64" i="11"/>
  <c r="B105" i="4"/>
  <c r="AB47" i="15" s="1"/>
  <c r="BE101" i="3"/>
  <c r="AK84" i="20"/>
  <c r="AK191" i="20" s="1"/>
  <c r="T811" i="20" s="1"/>
  <c r="AF811" i="20" s="1"/>
  <c r="BE76" i="3" s="1"/>
  <c r="D13" i="11"/>
  <c r="B97" i="13"/>
  <c r="B97" i="4"/>
  <c r="B105" i="13"/>
  <c r="AG269" i="20"/>
  <c r="O58" i="7"/>
  <c r="Q53" i="7"/>
  <c r="T105" i="4"/>
  <c r="H97" i="13"/>
  <c r="P23" i="21" a="1"/>
  <c r="P23" i="21" s="1"/>
  <c r="S23"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105" i="4" l="1"/>
  <c r="AZ1046" i="3"/>
  <c r="BA1056" i="3" s="1"/>
  <c r="T805" i="20"/>
  <c r="AF805" i="20" s="1"/>
  <c r="BE72" i="3" s="1"/>
  <c r="AB266" i="20"/>
  <c r="AG268" i="20" s="1"/>
  <c r="AC454" i="3"/>
  <c r="N185" i="23"/>
  <c r="BE22" i="3"/>
  <c r="AB49" i="15"/>
  <c r="AB54" i="15" s="1"/>
  <c r="AB55" i="15" s="1"/>
  <c r="S107" i="4"/>
  <c r="E105" i="13"/>
  <c r="AZ1051"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41"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 r="AM56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<sst xmlns="http://schemas.openxmlformats.org/spreadsheetml/2006/main" count="5049" uniqueCount="2756">
  <si>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</si>
  <si>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</si>
  <si>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</si>
  <si>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</si>
  <si>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</si>
  <si>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</si>
  <si>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</si>
  <si>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</si>
  <si>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</si>
  <si>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</si>
  <si>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</si>
  <si>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</si>
  <si>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</si>
  <si>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</si>
  <si>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</si>
  <si>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</si>
  <si>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</si>
  <si>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</si>
  <si>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</si>
  <si>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</si>
  <si>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</si>
  <si>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</si>
  <si>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</si>
  <si>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</si>
  <si>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</si>
  <si>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</si>
  <si>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</si>
  <si>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</si>
  <si>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</si>
  <si>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</si>
  <si>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</si>
  <si>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</si>
  <si>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</si>
  <si>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</si>
  <si>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</si>
  <si>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</si>
  <si>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</si>
  <si>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</si>
  <si>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</si>
  <si>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</si>
  <si>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</si>
  <si>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</si>
  <si>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</si>
  <si>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</si>
  <si>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</si>
  <si>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</si>
  <si>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</si>
  <si>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</si>
  <si>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</si>
  <si>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</si>
  <si>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</si>
  <si>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</si>
  <si>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</si>
  <si>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</si>
  <si>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</si>
  <si>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</si>
  <si>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</si>
  <si>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</si>
  <si>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</si>
  <si>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</si>
  <si>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</si>
  <si>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</si>
  <si>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</si>
  <si>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</si>
  <si>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</si>
  <si>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</si>
  <si>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</si>
  <si>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</si>
  <si>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</si>
  <si>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</si>
  <si>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</si>
  <si>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</si>
  <si>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</si>
  <si>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</si>
  <si>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</si>
  <si>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</si>
  <si>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</si>
  <si>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</si>
  <si>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</si>
  <si>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</si>
  <si>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</si>
  <si>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</si>
  <si>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</si>
  <si>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</si>
  <si>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</si>
  <si>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</si>
  <si>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</si>
  <si>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</si>
  <si>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</si>
  <si>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</si>
  <si>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</si>
  <si>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</si>
  <si>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</si>
  <si>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</si>
  <si>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</si>
  <si>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</si>
  <si>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</si>
  <si>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</si>
  <si>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</si>
  <si>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</si>
  <si>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</si>
  <si>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</si>
  <si>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</si>
  <si>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</si>
  <si>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</si>
  <si>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</si>
  <si>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</si>
  <si>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</si>
  <si>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</si>
  <si>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</si>
  <si>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</si>
  <si>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</si>
  <si>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</si>
  <si>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</si>
  <si>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</si>
  <si>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</si>
  <si>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</si>
  <si>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</si>
  <si>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</si>
  <si>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</si>
  <si>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</si>
  <si>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</si>
  <si>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</si>
  <si>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</si>
  <si>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</si>
  <si>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</si>
  <si>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</si>
  <si>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</si>
  <si>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</si>
  <si>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</si>
  <si>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</si>
  <si>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</si>
  <si>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</si>
  <si>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</si>
  <si>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</si>
  <si>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</si>
  <si>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</si>
  <si>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</si>
  <si>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</si>
  <si>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</si>
  <si>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</si>
  <si>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</si>
  <si>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</si>
  <si>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</si>
  <si>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</si>
  <si>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</si>
  <si>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</si>
  <si>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</si>
  <si>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</si>
  <si>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</si>
  <si>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</si>
  <si>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</si>
  <si>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</si>
  <si>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</si>
  <si>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</si>
  <si>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</si>
  <si>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</si>
  <si>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</si>
  <si>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</si>
  <si>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</si>
  <si>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</si>
  <si>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</si>
  <si>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</si>
  <si>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</si>
  <si>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</si>
  <si>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</si>
  <si>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</si>
  <si>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</si>
  <si>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</si>
  <si>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</si>
  <si>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</si>
  <si>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</si>
  <si>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</si>
  <si>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</si>
  <si>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</si>
  <si>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</si>
  <si>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</si>
  <si>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</si>
  <si>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</si>
  <si>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</si>
  <si>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</si>
  <si>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</si>
  <si>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</si>
  <si>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</si>
  <si>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</si>
  <si>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</si>
  <si>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</si>
  <si>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</si>
  <si>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</si>
  <si>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</si>
  <si>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</si>
  <si>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</si>
  <si>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</si>
  <si>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</si>
  <si>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</si>
  <si>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</si>
  <si>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</si>
  <si>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</si>
  <si>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</si>
  <si>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</si>
  <si>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</si>
  <si>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</si>
  <si>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</si>
  <si>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</si>
  <si>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</si>
  <si>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</si>
  <si>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</si>
  <si>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</si>
  <si>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</si>
  <si>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</si>
  <si>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</si>
  <si>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</si>
  <si>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</si>
  <si>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</si>
  <si>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</si>
  <si>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</si>
  <si>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</si>
  <si>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</si>
  <si>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</si>
  <si>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</si>
  <si>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</si>
  <si>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</si>
  <si>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</si>
  <si>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</si>
  <si>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</si>
  <si>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</si>
  <si>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</si>
  <si>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</si>
  <si>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</si>
  <si>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</si>
  <si>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</si>
  <si>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</si>
  <si>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</si>
  <si>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</si>
  <si>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</si>
  <si>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</si>
  <si>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</si>
  <si>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</si>
  <si>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</si>
  <si>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</si>
  <si>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</si>
  <si>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</si>
  <si>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</si>
  <si>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</si>
  <si>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</si>
  <si>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</si>
  <si>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</si>
  <si>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</si>
  <si>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</si>
  <si>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</si>
  <si>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</si>
  <si>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</si>
  <si>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</si>
  <si>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</si>
  <si>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</si>
  <si>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</si>
  <si>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</si>
  <si>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</si>
  <si>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</si>
  <si>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</si>
  <si>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</si>
  <si>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</si>
  <si>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</si>
  <si>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</si>
  <si>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</si>
  <si>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</si>
  <si>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</si>
  <si>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</si>
  <si>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</si>
  <si>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</si>
  <si>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</si>
  <si>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</si>
  <si>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</si>
  <si>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</si>
  <si>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</si>
  <si>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</si>
  <si>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</si>
  <si>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</si>
  <si>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</si>
  <si>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</si>
  <si>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</si>
  <si>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</si>
  <si>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</si>
  <si>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</si>
  <si>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</si>
  <si>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</si>
  <si>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</si>
  <si>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</si>
  <si>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</si>
  <si>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</si>
  <si>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</si>
  <si>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</si>
  <si>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</si>
  <si>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</si>
  <si>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</si>
  <si>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</si>
  <si>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</si>
  <si>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</si>
  <si>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</si>
  <si>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</si>
  <si>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</si>
  <si>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</si>
  <si>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</si>
  <si>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</si>
  <si>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</si>
  <si>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</si>
  <si>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</si>
  <si>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</si>
  <si>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</si>
  <si>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</si>
  <si>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</si>
  <si>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</si>
  <si>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</si>
  <si>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</si>
  <si>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</si>
  <si>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</si>
  <si>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</si>
  <si>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</si>
  <si>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</si>
  <si>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</si>
  <si>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</si>
  <si>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</si>
  <si>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</si>
  <si>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</si>
  <si>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</si>
  <si>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</si>
  <si>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</si>
  <si>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</si>
  <si>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</si>
  <si>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</si>
  <si>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</si>
  <si>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</si>
  <si>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</si>
  <si>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</si>
  <si>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</si>
  <si>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</si>
  <si>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</si>
  <si>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</si>
  <si>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</si>
  <si>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</si>
  <si>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</si>
  <si>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</si>
  <si>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</si>
  <si>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</si>
  <si>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</si>
  <si>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</si>
  <si>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</si>
  <si>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</si>
  <si>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</si>
  <si>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</si>
  <si>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</si>
  <si>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</si>
  <si>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</si>
  <si>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</si>
  <si>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</si>
  <si>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</si>
  <si>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</si>
  <si>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</si>
  <si>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</si>
  <si>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</si>
  <si>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</si>
  <si>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</si>
  <si>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</si>
  <si>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</si>
  <si>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</si>
  <si>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</si>
  <si>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</si>
  <si>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</si>
  <si>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</si>
  <si>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</si>
  <si>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</si>
  <si>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</si>
  <si>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</si>
  <si>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</si>
  <si>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</si>
  <si>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</si>
  <si>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</si>
  <si>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</si>
  <si>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</si>
  <si>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</si>
  <si>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</si>
  <si>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</si>
  <si>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</si>
  <si>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</si>
  <si>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</si>
  <si>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</si>
  <si>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</si>
  <si>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</si>
  <si>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</si>
  <si>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</si>
  <si>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</si>
  <si>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</si>
  <si>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</si>
  <si>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</si>
  <si>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</si>
  <si>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</si>
  <si>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</si>
  <si>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</si>
  <si>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</si>
  <si>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</si>
  <si>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</si>
  <si>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</si>
  <si>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</si>
  <si>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</si>
  <si>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</si>
  <si>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</si>
  <si>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</si>
  <si>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</si>
  <si>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</si>
  <si>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</si>
  <si>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</si>
  <si>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</si>
  <si>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</si>
  <si>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</si>
  <si>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</si>
  <si>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</si>
  <si>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</si>
  <si>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</si>
  <si>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</si>
  <si>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</si>
  <si>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</si>
  <si>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</si>
  <si>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</si>
  <si>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</si>
  <si>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</si>
  <si>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</si>
  <si>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</si>
  <si>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</si>
  <si>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</si>
  <si>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</si>
  <si>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</si>
  <si>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</si>
  <si>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</si>
  <si>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</si>
  <si>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</si>
  <si>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</si>
  <si>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</si>
  <si>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</si>
  <si>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</si>
  <si>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</si>
  <si>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</si>
  <si>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</si>
  <si>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</si>
  <si>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</si>
  <si>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</si>
  <si>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</si>
  <si>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</si>
  <si>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</si>
  <si>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</si>
  <si>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</si>
  <si>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</si>
  <si>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</si>
  <si>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</si>
  <si>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</si>
  <si>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</si>
  <si>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</si>
  <si>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</si>
  <si>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</si>
  <si>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</si>
  <si>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</si>
  <si>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</si>
  <si>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</si>
  <si>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</si>
  <si>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</si>
  <si>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</si>
  <si>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</si>
  <si>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</si>
  <si>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</si>
  <si>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</si>
  <si>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</si>
  <si>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</si>
  <si>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</si>
  <si>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</si>
  <si>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</si>
  <si>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</si>
  <si>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</si>
  <si>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</si>
  <si>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</si>
  <si>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</si>
  <si>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</si>
  <si>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</si>
  <si>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</si>
  <si>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</si>
  <si>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</si>
  <si>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</si>
  <si>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</si>
  <si>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</si>
  <si>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</si>
  <si>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</si>
  <si>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</si>
  <si>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</si>
  <si>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</si>
  <si>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</si>
  <si>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</si>
  <si>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</si>
  <si>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</si>
  <si>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</si>
  <si>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</si>
  <si>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</si>
  <si>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</si>
  <si>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</si>
  <si>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</si>
  <si>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</si>
  <si>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</si>
  <si>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</si>
  <si>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</si>
  <si>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</si>
  <si>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</si>
  <si>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</si>
  <si>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</si>
  <si>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</si>
  <si>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</si>
  <si>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</si>
  <si>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</si>
  <si>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</si>
  <si>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</si>
  <si>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</si>
  <si>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</si>
  <si>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</si>
  <si>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</si>
  <si>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</si>
  <si>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</si>
  <si>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</si>
  <si>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</si>
  <si>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</si>
  <si>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</si>
  <si>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</si>
  <si>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</si>
  <si>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</si>
  <si>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</si>
  <si>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</si>
  <si>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</si>
  <si>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</si>
  <si>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</si>
  <si>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</si>
  <si>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</si>
  <si>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</si>
  <si>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</si>
  <si>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</si>
  <si>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</si>
  <si>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</si>
  <si>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</si>
  <si>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</si>
  <si>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</si>
  <si>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</si>
  <si>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</si>
  <si>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</si>
  <si>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</si>
  <si>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</si>
  <si>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</si>
  <si>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</si>
  <si>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</si>
  <si>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</si>
  <si>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</si>
  <si>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</si>
  <si>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</si>
  <si>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</si>
  <si>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</si>
  <si>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</si>
  <si>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</si>
  <si>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</si>
  <si>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</si>
  <si>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</si>
  <si>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</si>
  <si>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</si>
  <si>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</si>
  <si>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</si>
  <si>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</si>
  <si>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</si>
  <si>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</si>
  <si>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</si>
  <si>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</si>
  <si>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</si>
  <si>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</si>
  <si>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</si>
  <si>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</si>
  <si>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</si>
  <si>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</si>
  <si>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</si>
  <si>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</si>
  <si>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</si>
  <si>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</si>
  <si>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</si>
  <si>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</si>
  <si>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</si>
  <si>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</si>
  <si>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</si>
  <si>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</si>
  <si>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</si>
  <si>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</si>
  <si>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</si>
  <si>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</si>
  <si>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</si>
  <si>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</si>
  <si>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</si>
  <si>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</si>
  <si>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</si>
  <si>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</si>
  <si>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</si>
  <si>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</si>
  <si>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</si>
  <si>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</si>
  <si>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</si>
  <si>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</si>
  <si>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</si>
  <si>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</si>
  <si>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</si>
  <si>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</si>
  <si>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</si>
  <si>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</si>
  <si>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</si>
  <si>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</si>
  <si>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</si>
  <si>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</si>
  <si>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</si>
  <si>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</si>
  <si>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</si>
  <si>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</si>
  <si>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</si>
  <si>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</si>
  <si>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</si>
  <si>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</si>
  <si>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</si>
  <si>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</si>
  <si>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</si>
  <si>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</si>
  <si>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</si>
  <si>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</si>
  <si>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</si>
  <si>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</si>
  <si>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</si>
  <si>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</si>
  <si>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</si>
  <si>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</si>
  <si>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</si>
  <si>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</si>
  <si>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</si>
  <si>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</si>
  <si>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</si>
  <si>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</si>
  <si>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</si>
  <si>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</si>
  <si>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</si>
  <si>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</si>
  <si>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</si>
  <si>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</si>
  <si>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</si>
  <si>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</si>
  <si>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</si>
  <si>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</si>
  <si>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</si>
  <si>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</si>
  <si>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</si>
  <si>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</si>
  <si>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</si>
  <si>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</si>
  <si>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</si>
  <si>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</si>
  <si>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</si>
  <si>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</si>
  <si>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</si>
  <si>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</si>
  <si>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</si>
  <si>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</si>
  <si>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</si>
  <si>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</si>
  <si>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</si>
  <si>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</si>
  <si>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</si>
  <si>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</si>
  <si>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</si>
  <si>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</si>
  <si>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</si>
  <si>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</si>
  <si>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</si>
  <si>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</si>
  <si>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</si>
  <si>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</si>
  <si>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</si>
  <si>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</si>
  <si>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</si>
  <si>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</si>
  <si>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</si>
  <si>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</si>
  <si>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</si>
  <si>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</si>
  <si>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</si>
  <si>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</si>
  <si>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</si>
  <si>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</si>
  <si>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</si>
  <si>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</si>
  <si>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</si>
  <si>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</si>
  <si>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</si>
  <si>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</si>
  <si>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</si>
  <si>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</si>
  <si>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</si>
  <si>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</si>
  <si>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</si>
  <si>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</si>
  <si>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</si>
  <si>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</si>
  <si>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</si>
  <si>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</si>
  <si>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</si>
  <si>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</si>
  <si>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</si>
  <si>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</si>
  <si>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</si>
  <si>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</si>
  <si>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</si>
  <si>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</si>
  <si>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</si>
  <si>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</si>
  <si>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</si>
  <si>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</si>
  <si>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</si>
  <si>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</si>
  <si>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</si>
  <si>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</si>
  <si>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</si>
  <si>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</si>
  <si>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</si>
  <si>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</si>
  <si>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</si>
  <si>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</si>
  <si>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</si>
  <si>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</si>
  <si>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</si>
  <si>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</si>
  <si>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</si>
  <si>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</si>
  <si>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</si>
  <si>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</si>
  <si>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</si>
  <si>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</si>
  <si>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</si>
  <si>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</si>
  <si>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</si>
  <si>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</si>
  <si>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</si>
  <si>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</si>
  <si>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</si>
  <si>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</si>
  <si>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</si>
  <si>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</si>
  <si>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</si>
  <si>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</si>
  <si>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</si>
  <si>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</si>
  <si>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</si>
  <si>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</si>
  <si>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</si>
  <si>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</si>
  <si>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</si>
  <si>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</si>
  <si>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</si>
  <si>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</si>
  <si>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</si>
  <si>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</si>
  <si>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</si>
  <si>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</si>
  <si>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</si>
  <si>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</si>
  <si>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</si>
  <si>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</si>
  <si>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</si>
  <si>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</si>
  <si>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</si>
  <si>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</si>
  <si>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</si>
  <si>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</si>
  <si>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</si>
  <si>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</si>
  <si>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</si>
  <si>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</si>
  <si>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</si>
  <si>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</si>
  <si>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</si>
  <si>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</si>
  <si>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</si>
  <si>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</si>
  <si>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</si>
  <si>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</si>
  <si>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</si>
  <si>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</si>
  <si>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</si>
  <si>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</si>
  <si>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</si>
  <si>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</si>
  <si>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</si>
  <si>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</si>
  <si>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</si>
  <si>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</si>
  <si>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</si>
  <si>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</si>
  <si>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</si>
  <si>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</si>
  <si>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</si>
  <si>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</si>
  <si>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</si>
  <si>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</si>
  <si>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</si>
  <si>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</si>
  <si>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</si>
  <si>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</si>
  <si>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</si>
  <si>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</si>
  <si>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</si>
  <si>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</si>
  <si>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</si>
  <si>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</si>
  <si>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</si>
  <si>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</si>
  <si>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</si>
  <si>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</si>
  <si>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</si>
  <si>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</si>
  <si>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</si>
  <si>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</si>
  <si>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</si>
  <si>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</si>
  <si>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</si>
  <si>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</si>
  <si>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</si>
  <si>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</si>
  <si>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</si>
  <si>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</si>
  <si>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</si>
  <si>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</si>
  <si>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</si>
  <si>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</si>
  <si>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</si>
  <si>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</si>
  <si>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</si>
  <si>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</si>
  <si>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</si>
  <si>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</si>
  <si>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</si>
  <si>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</si>
  <si>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</si>
  <si>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</si>
  <si>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</si>
  <si>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</si>
  <si>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</si>
  <si>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</si>
  <si>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</si>
  <si>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</si>
  <si>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</si>
  <si>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</si>
  <si>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</si>
  <si>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</si>
  <si>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</si>
  <si>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</si>
  <si>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</si>
  <si>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</si>
  <si>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</si>
  <si>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</si>
  <si>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</si>
  <si>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</si>
  <si>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</si>
  <si>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</si>
  <si>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</si>
  <si>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</si>
  <si>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</si>
  <si>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</si>
  <si>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</si>
  <si>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</si>
  <si>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</si>
  <si>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</si>
  <si>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</si>
  <si>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</si>
  <si>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</si>
  <si>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</si>
  <si>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</si>
  <si>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</si>
  <si>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</si>
  <si>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</si>
  <si>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</si>
  <si>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</si>
  <si>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</si>
  <si>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</si>
  <si>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</si>
  <si>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</si>
  <si>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</si>
  <si>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</si>
  <si>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</si>
  <si>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</si>
  <si>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</si>
  <si>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</si>
  <si>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</si>
  <si>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</si>
  <si>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</si>
  <si>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</si>
  <si>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</si>
  <si>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</si>
  <si>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</si>
  <si>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</si>
  <si>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</si>
  <si>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</si>
  <si>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</si>
  <si>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</si>
  <si>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</si>
  <si>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</si>
  <si>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</si>
  <si>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</si>
  <si>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</si>
  <si>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</si>
  <si>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</si>
  <si>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</si>
  <si>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</si>
  <si>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</si>
  <si>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</si>
  <si>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</si>
  <si>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</si>
  <si>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</si>
  <si>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</si>
  <si>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</si>
  <si>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</si>
  <si>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</si>
  <si>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</si>
  <si>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</si>
  <si>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</si>
  <si>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</si>
  <si>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</si>
  <si>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</si>
  <si>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</si>
  <si>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</si>
  <si>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</si>
  <si>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</si>
  <si>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</si>
  <si>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</si>
  <si>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</si>
  <si>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</si>
  <si>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</si>
  <si>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</si>
  <si>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</si>
  <si>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</si>
  <si>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</si>
  <si>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</si>
  <si>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</si>
  <si>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</si>
  <si>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</si>
  <si>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</si>
  <si>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</si>
  <si>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</si>
  <si>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</si>
  <si>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</si>
  <si>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</si>
  <si>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</si>
  <si>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</si>
  <si>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</si>
  <si>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</si>
  <si>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</si>
  <si>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</si>
  <si>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</si>
  <si>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</si>
  <si>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</si>
  <si>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</si>
  <si>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</si>
  <si>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</si>
  <si>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</si>
  <si>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</si>
  <si>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</si>
  <si>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</si>
  <si>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</si>
  <si>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</si>
  <si>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</si>
  <si>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</si>
  <si>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</si>
  <si>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</si>
  <si>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</si>
  <si>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</si>
  <si>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</si>
  <si>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</si>
  <si>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</si>
  <si>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</si>
  <si>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</si>
  <si>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</si>
  <si>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</si>
  <si>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</si>
  <si>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</si>
  <si>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</si>
  <si>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</si>
  <si>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</si>
  <si>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</si>
  <si>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</si>
  <si>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</si>
  <si>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</si>
  <si>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</si>
  <si>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</si>
  <si>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</si>
  <si>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</si>
  <si>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</si>
  <si>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</si>
  <si>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</si>
  <si>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</si>
  <si>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</si>
  <si>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</si>
  <si>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</si>
  <si>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</si>
  <si>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</si>
  <si>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</si>
  <si>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</si>
  <si>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</si>
  <si>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</si>
  <si>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</si>
  <si>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</si>
  <si>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</si>
  <si>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</si>
  <si>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</si>
  <si>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</si>
  <si>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</si>
  <si>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</si>
  <si>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</si>
  <si>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</si>
  <si>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</si>
  <si>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</si>
  <si>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</si>
  <si>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</si>
  <si>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</si>
  <si>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</si>
  <si>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</si>
  <si>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</si>
  <si>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</si>
  <si>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</si>
  <si>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</si>
  <si>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</si>
  <si>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</si>
  <si>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</si>
  <si>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</si>
  <si>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</si>
  <si>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</si>
  <si>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</si>
  <si>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</si>
  <si>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</si>
  <si>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</si>
  <si>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</si>
  <si>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</si>
  <si>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</si>
  <si>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</si>
  <si>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</si>
  <si>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</si>
  <si>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</si>
  <si>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</si>
  <si>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</si>
  <si>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</si>
  <si>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</si>
  <si>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</si>
  <si>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</si>
  <si>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</si>
  <si>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</si>
  <si>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</si>
  <si>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</si>
  <si>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</si>
  <si>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</si>
  <si>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</si>
  <si>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</si>
  <si>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</si>
  <si>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</si>
  <si>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</si>
  <si>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</si>
  <si>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</si>
  <si>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</si>
  <si>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</si>
  <si>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</si>
  <si>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</si>
  <si>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</si>
  <si>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</si>
  <si>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</si>
  <si>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</si>
  <si>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</si>
  <si>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</si>
  <si>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</si>
  <si>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</si>
  <si>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</si>
  <si>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</si>
  <si>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</si>
  <si>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</si>
  <si>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</si>
  <si>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</si>
  <si>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</si>
  <si>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</si>
  <si>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</si>
  <si>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</si>
  <si>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</si>
  <si>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</si>
  <si>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</si>
  <si>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</si>
  <si>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</si>
  <si>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</si>
  <si>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</si>
  <si>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</si>
  <si>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</si>
  <si>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</si>
  <si>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</si>
  <si>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</si>
  <si>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</si>
  <si>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</si>
  <si>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</si>
  <si>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</si>
  <si>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</si>
  <si>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</si>
  <si>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</si>
  <si>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</si>
  <si>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</si>
  <si>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</si>
  <si>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</si>
  <si>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</si>
  <si>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</si>
  <si>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</si>
  <si>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</si>
  <si>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</si>
  <si>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</si>
  <si>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</si>
  <si>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</si>
  <si>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</si>
  <si>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</si>
  <si>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</si>
  <si>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</si>
  <si>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</si>
  <si>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</si>
  <si>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</si>
  <si>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</si>
  <si>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</si>
  <si>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</si>
  <si>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</si>
  <si>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</si>
  <si>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</si>
  <si>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</si>
  <si>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</si>
  <si>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</si>
  <si>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</si>
  <si>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</si>
  <si>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</si>
  <si>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</si>
  <si>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</si>
  <si>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</si>
  <si>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</si>
  <si>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</si>
  <si>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</si>
  <si>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</si>
  <si>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</si>
  <si>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</si>
  <si>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</si>
  <si>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</si>
  <si>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</si>
  <si>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</si>
  <si>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</si>
  <si>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</si>
  <si>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</si>
  <si>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</si>
  <si>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</si>
  <si>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</si>
  <si>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</si>
  <si>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</si>
  <si>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</si>
  <si>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</si>
  <si>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</si>
  <si>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</si>
  <si>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</si>
  <si>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</si>
  <si>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</si>
  <si>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</si>
  <si>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</si>
  <si>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</si>
  <si>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</si>
  <si>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</si>
  <si>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</si>
  <si>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</si>
  <si>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</si>
  <si>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</si>
  <si>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</si>
  <si>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</si>
  <si>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</si>
  <si>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</si>
  <si>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</si>
  <si>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</si>
  <si>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</si>
  <si>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</si>
  <si>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</si>
  <si>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</si>
  <si>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</si>
  <si>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</si>
  <si>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</si>
  <si>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</si>
  <si>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</si>
  <si>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</si>
  <si>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</si>
  <si>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</si>
  <si>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</si>
  <si>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</si>
  <si>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</si>
  <si>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</si>
  <si>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</si>
  <si>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</si>
  <si>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</si>
  <si>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</si>
  <si>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</si>
  <si>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</si>
  <si>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</si>
  <si>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</si>
  <si>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</si>
  <si>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</si>
  <si>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</si>
  <si>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</si>
  <si>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</si>
  <si>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</si>
  <si>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</si>
  <si>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</si>
  <si>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</si>
  <si>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</si>
  <si>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</si>
  <si>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</si>
  <si>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</si>
  <si>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</si>
  <si>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</si>
  <si>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</si>
  <si>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</si>
  <si>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</si>
  <si>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</si>
  <si>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</si>
  <si>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</si>
  <si>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</si>
  <si>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</si>
  <si>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</si>
  <si>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</si>
  <si>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</si>
  <si>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</si>
  <si>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</si>
  <si>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</si>
  <si>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</si>
  <si>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</si>
  <si>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</si>
  <si>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</si>
  <si>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</si>
  <si>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</si>
  <si>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</si>
  <si>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</si>
  <si>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</si>
  <si>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</si>
  <si>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</si>
  <si>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</si>
  <si>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</si>
  <si>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</si>
  <si>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</si>
  <si>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</si>
  <si>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</si>
  <si>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</si>
  <si>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</si>
  <si>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</si>
  <si>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</si>
  <si>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</si>
  <si>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</si>
  <si>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</si>
  <si>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</si>
  <si>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</si>
  <si>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</si>
  <si>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</si>
  <si>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</si>
  <si>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</si>
  <si>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</si>
  <si>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</si>
  <si>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</si>
  <si>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</si>
  <si>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</si>
  <si>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</si>
  <si>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</si>
  <si>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</si>
  <si>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</si>
  <si>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</si>
  <si>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</si>
  <si>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</si>
  <si>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</si>
  <si>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</si>
  <si>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</si>
  <si>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</si>
  <si>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</si>
  <si>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</si>
  <si>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</si>
  <si>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</si>
  <si>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</si>
  <si>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</si>
  <si>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</si>
  <si>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</si>
  <si>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</si>
  <si>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</si>
  <si>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</si>
  <si>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</si>
  <si>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</si>
  <si>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</si>
  <si>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</si>
  <si>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</si>
  <si>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</si>
  <si>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</si>
  <si>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</si>
  <si>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</si>
  <si>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</si>
  <si>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</si>
  <si>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</si>
  <si>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</si>
  <si>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</si>
  <si>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</si>
  <si>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</si>
  <si>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</si>
  <si>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</si>
  <si>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</si>
  <si>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</si>
  <si>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</si>
  <si>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</si>
  <si>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</si>
  <si>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</si>
  <si>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</si>
  <si>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</si>
  <si>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</si>
  <si>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</si>
  <si>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</si>
  <si>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</si>
  <si>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</si>
  <si>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</si>
  <si>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</si>
  <si>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</si>
  <si>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</si>
  <si>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</si>
  <si>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</si>
  <si>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</si>
  <si>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</si>
  <si>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</si>
  <si>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</si>
  <si>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</si>
  <si>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</si>
  <si>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</si>
  <si>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</si>
  <si>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</si>
  <si>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</si>
  <si>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</si>
  <si>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</si>
  <si>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</si>
  <si>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</si>
  <si>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</si>
  <si>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</si>
  <si>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</si>
  <si>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</si>
  <si>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</si>
  <si>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</si>
  <si>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</si>
  <si>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</si>
  <si>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</si>
  <si>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</si>
  <si>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</si>
  <si>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</si>
  <si>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</si>
  <si>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</si>
  <si>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</si>
  <si>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</si>
  <si>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</si>
  <si>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</si>
  <si>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</si>
  <si>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</si>
  <si>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</si>
  <si>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</si>
  <si>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</si>
  <si>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</si>
  <si>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</si>
  <si>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</si>
  <si>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</si>
  <si>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</si>
  <si>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</si>
  <si>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</si>
  <si>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</si>
  <si>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</si>
  <si>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</si>
  <si>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</si>
  <si>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</si>
  <si>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</si>
  <si>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</si>
  <si>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</si>
  <si>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</si>
  <si>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</si>
  <si>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</si>
  <si>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</si>
  <si>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</si>
  <si>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</si>
  <si>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</si>
  <si>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</si>
  <si>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</si>
  <si>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</si>
  <si>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</si>
  <si>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</si>
  <si>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</si>
  <si>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</si>
  <si>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</si>
  <si>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</si>
  <si>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</si>
  <si>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</si>
  <si>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</si>
  <si>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</si>
  <si>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</si>
  <si>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</si>
  <si>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</si>
  <si>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</si>
  <si>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</si>
  <si>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</si>
  <si>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</si>
  <si>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</si>
  <si>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</si>
  <si>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</si>
  <si>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</si>
  <si>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</si>
  <si>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</si>
  <si>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</si>
  <si>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</si>
  <si>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</si>
  <si>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</si>
  <si>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</si>
  <si>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</si>
  <si>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</si>
  <si>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</si>
  <si>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</si>
  <si>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</si>
  <si>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</si>
  <si>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</si>
  <si>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</si>
  <si>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</si>
  <si>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</si>
  <si>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</si>
  <si>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</si>
  <si>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</si>
  <si>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</si>
  <si>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</si>
  <si>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</si>
  <si>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</si>
  <si>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</si>
  <si>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</si>
  <si>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</si>
  <si>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</si>
  <si>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</si>
  <si>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</si>
  <si>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</si>
  <si>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</si>
  <si>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</si>
  <si>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</si>
  <si>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</si>
  <si>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</si>
  <si>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</si>
  <si>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</si>
  <si>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</si>
  <si>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</si>
  <si>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</si>
  <si>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</si>
  <si>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</si>
  <si>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</si>
  <si>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</si>
  <si>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</si>
  <si>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</si>
  <si>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</si>
  <si>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</si>
  <si>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</si>
  <si>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</si>
  <si>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</si>
  <si>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</si>
  <si>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</si>
  <si>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</si>
  <si>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</si>
  <si>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</si>
  <si>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</si>
  <si>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</si>
  <si>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</si>
  <si>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</si>
  <si>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</si>
  <si>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</si>
  <si>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</si>
  <si>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</si>
  <si>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</si>
  <si>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</si>
  <si>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</si>
  <si>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</si>
  <si>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</si>
  <si>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</si>
  <si>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</si>
  <si>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</si>
  <si>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</si>
  <si>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</si>
  <si>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</si>
  <si>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</si>
  <si>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</si>
  <si>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</si>
  <si>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</si>
  <si>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</si>
  <si>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</si>
  <si>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</si>
  <si>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</si>
  <si>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</si>
  <si>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</si>
  <si>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</si>
  <si>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</si>
  <si>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</si>
  <si>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</si>
  <si>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</si>
  <si>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</si>
  <si>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</si>
  <si>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</si>
  <si>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</si>
  <si>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</si>
  <si>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</si>
  <si>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</si>
  <si>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</si>
  <si>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</si>
  <si>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</si>
  <si>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</si>
  <si>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</si>
  <si>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</si>
  <si>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</si>
  <si>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</si>
  <si>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</si>
  <si>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</si>
  <si>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</si>
  <si>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</si>
  <si>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</si>
  <si>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</si>
  <si>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</si>
  <si>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</si>
  <si>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</si>
  <si>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</si>
  <si>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</si>
  <si>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</si>
  <si>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</si>
  <si>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</si>
  <si>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</si>
  <si>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</si>
  <si>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</si>
  <si>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</si>
  <si>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</si>
  <si>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</si>
  <si>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</si>
  <si>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</si>
  <si>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</si>
  <si>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</si>
  <si>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</si>
  <si>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</si>
  <si>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</si>
  <si>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</si>
  <si>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</si>
  <si>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</si>
  <si>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</si>
  <si>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</si>
  <si>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</si>
  <si>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</si>
  <si>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</si>
  <si>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</si>
  <si>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</si>
  <si>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</si>
  <si>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</si>
  <si>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</si>
  <si>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</si>
  <si>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</si>
  <si>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</si>
  <si>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</si>
  <si>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</si>
  <si>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</si>
  <si>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</si>
  <si>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</si>
  <si>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</si>
  <si>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</si>
  <si>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</si>
  <si>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</si>
  <si>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</si>
  <si>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</si>
  <si>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</si>
  <si>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</si>
  <si>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</si>
  <si>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</si>
  <si>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</si>
  <si>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</si>
  <si>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</si>
  <si>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</si>
  <si>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</si>
  <si>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</si>
  <si>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</si>
  <si>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</si>
  <si>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</si>
  <si>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</si>
  <si>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</si>
  <si>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</si>
  <si>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</si>
  <si>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</si>
  <si>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</si>
  <si>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</si>
  <si>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</si>
  <si>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</si>
  <si>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</si>
  <si>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</si>
  <si>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</si>
  <si>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</si>
  <si>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</si>
  <si>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</si>
  <si>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</si>
  <si>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</si>
  <si>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</si>
  <si>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</si>
  <si>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</si>
  <si>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</si>
  <si>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</si>
  <si>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</si>
  <si>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</si>
  <si>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</si>
  <si>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</si>
  <si>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</si>
  <si>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</si>
  <si>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</si>
  <si>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</si>
  <si>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</si>
  <si>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</si>
  <si>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</si>
  <si>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</si>
  <si>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</si>
  <si>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</si>
  <si>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</si>
  <si>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</si>
  <si>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</si>
  <si>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</si>
  <si>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</si>
  <si>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</si>
  <si>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</si>
  <si>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</si>
  <si>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</si>
  <si>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</si>
  <si>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</si>
  <si>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</si>
  <si>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</si>
  <si>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</si>
  <si>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</si>
  <si>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</si>
  <si>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</si>
  <si>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</si>
  <si>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</si>
  <si>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</si>
  <si>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</si>
  <si>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</si>
  <si>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</si>
  <si>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</si>
  <si>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</si>
  <si>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</si>
  <si>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</si>
  <si>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</si>
  <si>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</si>
  <si>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</si>
  <si>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</si>
  <si>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</si>
  <si>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</si>
  <si>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</si>
  <si>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</si>
  <si>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</si>
  <si>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</si>
  <si>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</si>
  <si>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</si>
  <si>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</si>
  <si>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</si>
  <si>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</si>
  <si>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</si>
  <si>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</si>
  <si>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</si>
  <si>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</si>
  <si>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</si>
  <si>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</si>
  <si>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</si>
  <si>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</si>
  <si>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</si>
  <si>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</si>
  <si>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</si>
  <si>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</si>
  <si>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</si>
  <si>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</si>
  <si>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</si>
  <si>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</si>
  <si>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</si>
  <si>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</si>
  <si>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</si>
  <si>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</si>
  <si>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</si>
  <si>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</si>
  <si>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</si>
  <si>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</si>
  <si>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</si>
  <si>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</si>
  <si>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</si>
  <si>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</si>
  <si>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</si>
  <si>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</si>
  <si>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</si>
  <si>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</si>
  <si>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</si>
  <si>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</si>
  <si>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</si>
  <si>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</si>
  <si>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</si>
  <si>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</si>
  <si>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</si>
  <si>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</si>
  <si>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</si>
  <si>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</si>
  <si>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</si>
  <si>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</si>
  <si>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</si>
  <si>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</si>
  <si>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</si>
  <si>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</si>
  <si>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</si>
  <si>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</si>
  <si>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</si>
  <si>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</si>
  <si>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</si>
  <si>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</si>
  <si>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</si>
  <si>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</si>
  <si>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</si>
  <si>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</si>
  <si>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</si>
  <si>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</si>
  <si>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</si>
  <si>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</si>
  <si>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</si>
  <si>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</si>
  <si>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</si>
  <si>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</si>
  <si>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</si>
  <si>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</si>
  <si>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</si>
  <si>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</si>
  <si>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</si>
  <si>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</si>
  <si>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</si>
  <si>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</si>
  <si>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</si>
  <si>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</si>
  <si>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</si>
  <si>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</si>
  <si>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</si>
  <si>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</si>
  <si>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</si>
  <si>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</si>
  <si>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</si>
  <si>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</si>
  <si>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</si>
  <si>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</si>
  <si>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</si>
  <si>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</si>
  <si>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</si>
  <si>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</si>
  <si>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</si>
  <si>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</si>
  <si>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</si>
  <si>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</si>
  <si>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</si>
  <si>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</si>
  <si>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</si>
  <si>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</si>
  <si>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</si>
  <si>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</si>
  <si>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</si>
  <si>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</si>
  <si>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</si>
  <si>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</si>
  <si>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</si>
  <si>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</si>
  <si>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</si>
  <si>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</si>
  <si>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</si>
  <si>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</si>
  <si>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</si>
  <si>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</si>
  <si>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</si>
  <si>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</si>
  <si>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</si>
  <si>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</si>
  <si>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</si>
  <si>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</si>
  <si>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</si>
  <si>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</si>
  <si>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</si>
  <si>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</si>
  <si>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</si>
  <si>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</si>
  <si>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</si>
  <si>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</si>
  <si>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</si>
  <si>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</si>
  <si>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</si>
  <si>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</si>
  <si>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</si>
  <si>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</si>
  <si>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</si>
  <si>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</si>
  <si>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</si>
  <si>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</si>
  <si>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</si>
  <si>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</si>
  <si>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</si>
  <si>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</si>
  <si>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</si>
  <si>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</si>
  <si>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</si>
  <si>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</si>
  <si>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</si>
  <si>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</si>
  <si>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</si>
  <si>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</si>
  <si>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</si>
  <si>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</si>
  <si>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</si>
  <si>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</si>
  <si>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</si>
  <si>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</si>
  <si>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</si>
  <si>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</si>
  <si>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</si>
  <si>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</si>
  <si>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</si>
  <si>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</si>
  <si>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</si>
  <si>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</si>
  <si>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</si>
  <si>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</si>
  <si>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</si>
  <si>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</si>
  <si>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</si>
  <si>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</si>
  <si>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</si>
  <si>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</si>
  <si>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</si>
  <si>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</si>
  <si>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</si>
  <si>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</si>
  <si>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</si>
  <si>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</si>
  <si>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</si>
  <si>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</si>
  <si>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</si>
  <si>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</si>
  <si>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</si>
  <si>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</si>
  <si>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</si>
  <si>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</si>
  <si>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</si>
  <si>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</si>
  <si>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</si>
  <si>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</si>
  <si>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</si>
  <si>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</si>
  <si>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</si>
  <si>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</si>
  <si>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</si>
  <si>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</si>
  <si>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</si>
  <si>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</si>
  <si>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</si>
  <si>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</si>
  <si>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</si>
  <si>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</si>
  <si>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</si>
  <si>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</si>
  <si>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</si>
  <si>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</si>
  <si>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</si>
  <si>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</si>
  <si>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</si>
  <si>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</si>
  <si>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</si>
  <si>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</si>
  <si>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</si>
  <si>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</si>
  <si>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</si>
  <si>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</si>
  <si>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</si>
  <si>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</si>
  <si>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</si>
  <si>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</si>
  <si>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</si>
  <si>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</si>
  <si>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</si>
  <si>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</si>
  <si>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</si>
  <si>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</si>
  <si>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</si>
  <si>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</si>
  <si>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</si>
  <si>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</si>
  <si>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</si>
  <si>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</si>
  <si>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</si>
  <si>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</si>
  <si>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</si>
  <si>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</si>
  <si>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</si>
  <si>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</si>
  <si>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</si>
  <si>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</si>
  <si>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</si>
  <si>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</si>
  <si>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</si>
  <si>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</si>
  <si>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</si>
  <si>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</si>
  <si>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</si>
  <si>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</si>
  <si>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</si>
  <si>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</si>
  <si>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</si>
  <si>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</si>
  <si>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</si>
  <si>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</si>
  <si>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</si>
  <si>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</si>
  <si>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</si>
  <si>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</si>
  <si>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</si>
  <si>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</si>
  <si>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</si>
  <si>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</si>
  <si>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</si>
  <si>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</si>
  <si>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</si>
  <si>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</si>
  <si>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</si>
  <si>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</si>
  <si>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</si>
  <si>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</si>
  <si>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</si>
  <si>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</si>
  <si>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</si>
  <si>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</si>
  <si>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</si>
  <si>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</si>
  <si>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</si>
  <si>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</si>
  <si>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</si>
  <si>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</si>
  <si>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</si>
  <si>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</si>
  <si>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</si>
  <si>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</si>
  <si>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</si>
  <si>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</si>
  <si>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</si>
  <si>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</si>
  <si>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</si>
  <si>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</si>
  <si>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</si>
  <si>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</si>
  <si>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</si>
  <si>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</si>
  <si>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</si>
  <si>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</si>
  <si>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</si>
  <si>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</si>
  <si>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</si>
  <si>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</si>
  <si>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</si>
  <si>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</si>
  <si>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</si>
  <si>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</si>
  <si>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</si>
  <si>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</si>
  <si>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</si>
  <si>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</si>
  <si>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</si>
  <si>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</si>
  <si>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</si>
  <si>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</si>
  <si>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</si>
  <si>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</si>
  <si>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</si>
  <si>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</si>
  <si>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</si>
  <si>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</si>
  <si>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</si>
  <si>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</si>
  <si>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</si>
  <si>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</si>
  <si>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</si>
  <si>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</si>
  <si>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</si>
  <si>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</si>
  <si>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</si>
  <si>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</si>
  <si>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</si>
  <si>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</si>
  <si>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</si>
  <si>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</si>
  <si>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</si>
  <si>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</si>
  <si>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</si>
  <si>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</si>
  <si>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</si>
  <si>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</si>
  <si>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</si>
  <si>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</si>
  <si>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</si>
  <si>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</si>
  <si>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</si>
  <si>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</si>
  <si>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</si>
  <si>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</si>
  <si>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</si>
  <si>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</si>
  <si>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</si>
  <si>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</si>
  <si>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</si>
  <si>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</si>
  <si>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</si>
  <si>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</si>
  <si>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</si>
  <si>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</si>
  <si>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</si>
  <si>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</si>
  <si>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</si>
  <si>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</si>
  <si>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</si>
  <si>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</si>
  <si>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</si>
  <si>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</si>
  <si>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</si>
  <si>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</si>
  <si>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</si>
  <si>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</si>
  <si>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</si>
  <si>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</si>
  <si>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</si>
  <si>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</si>
  <si>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</si>
  <si>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</si>
  <si>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</si>
  <si>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</si>
  <si>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</si>
  <si>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</si>
  <si>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</si>
  <si>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</si>
  <si>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</si>
  <si>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</si>
  <si>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</si>
  <si>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</si>
  <si>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</si>
  <si>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</si>
  <si>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</si>
  <si>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</si>
  <si>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</si>
  <si>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</si>
  <si>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</si>
  <si>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</si>
  <si>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</si>
  <si>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</si>
  <si>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</si>
  <si>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</si>
  <si>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</si>
  <si>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</si>
  <si>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</si>
  <si>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</si>
  <si>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</si>
  <si>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</si>
  <si>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</si>
  <si>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</si>
  <si>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</si>
  <si>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</si>
  <si>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</si>
  <si>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</si>
  <si>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</si>
  <si>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</si>
  <si>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</si>
  <si>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</si>
  <si>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</si>
  <si>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</si>
  <si>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</si>
  <si>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</si>
  <si>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</si>
  <si>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</si>
  <si>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</si>
  <si>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</si>
  <si>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</si>
  <si>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</si>
  <si>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</si>
  <si>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</si>
  <si>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</si>
  <si>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</si>
  <si>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</si>
  <si>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</si>
  <si>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</si>
  <si>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</si>
  <si>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</si>
  <si>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</si>
  <si>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</si>
  <si>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</si>
  <si>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</si>
  <si>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</si>
  <si>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</si>
  <si>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</si>
  <si>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</si>
  <si>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</si>
  <si>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</si>
  <si>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</si>
  <si>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</si>
  <si>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</si>
  <si>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</si>
  <si>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</si>
  <si>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</si>
  <si>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</si>
  <si>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</si>
  <si>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</si>
  <si>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</si>
  <si>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</si>
  <si>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</si>
  <si>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</si>
  <si>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</si>
  <si>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</si>
  <si>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</si>
  <si>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</si>
  <si>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</si>
  <si>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</si>
  <si>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</si>
  <si>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</si>
  <si>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</si>
  <si>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</si>
  <si>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</si>
  <si>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</si>
  <si>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</si>
  <si>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</si>
  <si>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</si>
  <si>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</si>
  <si>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</si>
  <si>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</si>
  <si>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</si>
  <si>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</si>
  <si>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</si>
  <si>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</si>
  <si>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</si>
  <si>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</si>
  <si>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</si>
  <si>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</si>
  <si>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</si>
  <si>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</si>
  <si>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</si>
  <si>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</si>
  <si>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</si>
  <si>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</si>
  <si>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</si>
  <si>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</si>
  <si>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</si>
  <si>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</si>
  <si>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</si>
  <si>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</si>
  <si>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</si>
  <si>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</si>
  <si>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</si>
  <si>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</si>
  <si>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</si>
  <si>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</si>
  <si>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</si>
  <si>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</si>
  <si>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</si>
  <si>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</si>
  <si>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</si>
  <si>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</si>
  <si>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</si>
  <si>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</si>
  <si>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</si>
  <si>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</si>
  <si>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</si>
  <si>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</si>
  <si>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</si>
  <si>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</si>
  <si>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</si>
  <si>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</si>
  <si>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</si>
  <si>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</si>
  <si>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</si>
  <si>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</si>
  <si>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</si>
  <si>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</si>
  <si>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</si>
  <si>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</si>
  <si>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</si>
  <si>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</si>
  <si>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</si>
  <si>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</si>
  <si>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</si>
  <si>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</si>
  <si>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</si>
  <si>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</si>
  <si>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</si>
  <si>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</si>
  <si>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</si>
  <si>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</si>
  <si>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</si>
  <si>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</si>
  <si>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</si>
  <si>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</si>
  <si>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</si>
  <si>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</si>
  <si>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</si>
  <si>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</si>
  <si>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</si>
  <si>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</si>
  <si>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</si>
  <si>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</si>
  <si>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</si>
  <si>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</si>
  <si>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</si>
  <si>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</si>
  <si>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</si>
  <si>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</si>
  <si>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</si>
  <si>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</si>
  <si>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</si>
  <si>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</si>
  <si>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</si>
  <si>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</si>
  <si>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</si>
  <si>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</si>
  <si>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</si>
  <si>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</si>
  <si>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</si>
  <si>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</si>
  <si>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</si>
  <si>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</si>
  <si>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</si>
  <si>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</si>
  <si>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</si>
  <si>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</si>
  <si>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</si>
  <si>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</si>
  <si>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</si>
  <si>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</si>
  <si>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</si>
  <si>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</si>
  <si>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</si>
  <si>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</si>
  <si>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</si>
  <si>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</si>
  <si>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</si>
  <si>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</si>
  <si>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</si>
  <si>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</si>
  <si>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</si>
  <si>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</si>
  <si>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</si>
  <si>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</si>
  <si>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</si>
  <si>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</si>
  <si>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</si>
  <si>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</si>
  <si>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</si>
  <si>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</si>
  <si>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</si>
  <si>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</si>
  <si>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</si>
  <si>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</si>
  <si>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</si>
  <si>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</si>
  <si>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</si>
  <si>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</si>
  <si>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</si>
  <si>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</si>
  <si>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</si>
  <si>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</si>
  <si>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</si>
  <si>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</si>
  <si>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</si>
  <si>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</si>
  <si>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</si>
  <si>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</si>
  <si>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</si>
  <si>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</si>
  <si>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</si>
  <si>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</si>
  <si>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</si>
  <si>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</si>
  <si>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</si>
  <si>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</si>
  <si>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</si>
  <si>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</si>
  <si>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</si>
  <si>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</si>
  <si>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</si>
  <si>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</si>
  <si>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</si>
  <si>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</si>
  <si>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</si>
  <si>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</si>
  <si>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</si>
  <si>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</si>
  <si>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</si>
  <si>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</si>
  <si>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</si>
  <si>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</si>
  <si>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</si>
  <si>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</si>
  <si>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</si>
  <si>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</si>
  <si>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</si>
  <si>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</si>
  <si>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</si>
  <si>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</si>
  <si>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</si>
  <si>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</si>
  <si>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</si>
  <si>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</si>
  <si>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</si>
  <si>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</si>
  <si>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</si>
  <si>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</si>
  <si>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</si>
  <si>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</si>
  <si>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</si>
  <si>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</si>
  <si>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</si>
  <si>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</si>
  <si>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</si>
  <si>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</si>
  <si>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</si>
  <si>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</si>
  <si>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</si>
  <si>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</si>
  <si>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</si>
  <si>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</si>
  <si>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</si>
  <si>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</si>
  <si>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</si>
  <si>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</si>
  <si>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</si>
  <si>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</si>
  <si>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</si>
  <si>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</si>
  <si>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</si>
  <si>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</si>
  <si>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</si>
  <si>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</si>
  <si>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</si>
  <si>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</si>
  <si>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</si>
  <si>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</si>
  <si>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</si>
  <si>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</si>
  <si>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</si>
  <si>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</si>
  <si>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</si>
  <si>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</si>
  <si>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</si>
  <si>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</si>
  <si>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</si>
  <si>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</si>
  <si>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</si>
  <si>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</si>
  <si>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</si>
  <si>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</si>
  <si>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</si>
  <si>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</si>
  <si>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</si>
  <si>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</si>
  <si>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</si>
  <si>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</si>
  <si>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</si>
  <si>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</si>
  <si>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</si>
  <si>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</si>
  <si>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</si>
  <si>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</si>
  <si>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</si>
  <si>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</si>
  <si>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</si>
  <si>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</si>
  <si>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</si>
  <si>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</si>
  <si>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</si>
  <si>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</si>
  <si>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</si>
  <si>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</si>
  <si>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</si>
  <si>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</si>
  <si>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</si>
  <si>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</si>
  <si>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</si>
  <si>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</si>
  <si>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</si>
  <si>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</si>
  <si>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</si>
  <si>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</si>
  <si>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</si>
  <si>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</si>
  <si>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</si>
  <si>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</si>
  <si>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</si>
  <si>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</si>
  <si>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</si>
  <si>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</si>
  <si>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</si>
  <si>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</si>
  <si>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</si>
  <si>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</si>
  <si>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</si>
  <si>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</si>
  <si>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</si>
  <si>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</si>
  <si>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</si>
  <si>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</si>
  <si>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</si>
  <si>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</si>
  <si>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</si>
  <si>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</si>
  <si>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</si>
  <si>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</si>
  <si>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</si>
  <si>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</si>
  <si>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</si>
  <si>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</si>
  <si>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</si>
  <si>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</si>
  <si>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</si>
  <si>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</si>
  <si>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</si>
  <si>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</si>
  <si>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</si>
  <si>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</si>
  <si>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</si>
  <si>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</si>
  <si>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</si>
  <si>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</si>
  <si>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</si>
  <si>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</si>
  <si>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</si>
  <si>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</si>
  <si>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</si>
  <si>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</si>
  <si>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</si>
  <si>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</si>
  <si>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</si>
  <si>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</si>
  <si>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</si>
  <si>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</si>
  <si>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</si>
  <si>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</si>
  <si>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</si>
  <si>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</si>
  <si>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</si>
  <si>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</si>
  <si>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</si>
  <si>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</si>
  <si>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</si>
  <si>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</si>
  <si>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</si>
  <si>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</si>
  <si>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</si>
  <si>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</si>
  <si>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</si>
  <si>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</si>
  <si>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</si>
  <si>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</si>
  <si>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</si>
  <si>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</si>
  <si>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</si>
  <si>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</si>
  <si>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</si>
  <si>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</si>
  <si>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</si>
  <si>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</si>
  <si>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</si>
  <si>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</si>
  <si>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</si>
  <si>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</si>
  <si>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</si>
  <si>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</si>
  <si>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</si>
  <si>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</si>
  <si>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</si>
  <si>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</si>
  <si>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</si>
  <si>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</si>
  <si>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</si>
  <si>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</si>
  <si>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</si>
  <si>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</si>
  <si>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</si>
  <si>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</si>
  <si>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</si>
  <si>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</si>
  <si>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</si>
  <si>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</si>
  <si>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</si>
  <si>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</si>
  <si>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</si>
  <si>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</si>
  <si>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</si>
  <si>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</si>
  <si>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</si>
  <si>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</si>
  <si>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</si>
  <si>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</si>
  <si>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</si>
  <si>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</si>
  <si>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</si>
  <si>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</si>
  <si>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</si>
  <si>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</si>
  <si>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</si>
  <si>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</si>
  <si>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</si>
  <si>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</si>
  <si>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</si>
  <si>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</si>
  <si>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</si>
  <si>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</si>
  <si>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</si>
  <si>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</si>
  <si>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</si>
  <si>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</si>
  <si>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</si>
  <si>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</si>
  <si>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</si>
  <si>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</si>
  <si>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</si>
  <si>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</si>
  <si>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</si>
  <si>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</si>
  <si>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</si>
  <si>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</si>
  <si>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</si>
  <si>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</si>
  <si>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</si>
  <si>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</si>
  <si>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</si>
  <si>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</si>
  <si>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</si>
  <si>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</si>
  <si>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</si>
  <si>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</si>
  <si>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</si>
  <si>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</si>
  <si>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</si>
  <si>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</si>
  <si>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</si>
  <si>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</si>
  <si>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</si>
  <si>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</si>
  <si>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</si>
  <si>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</si>
  <si>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</si>
  <si>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</si>
  <si>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</si>
  <si>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</si>
  <si>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</si>
  <si>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</si>
  <si>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</si>
  <si>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</si>
  <si>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</si>
  <si>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</si>
  <si>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</si>
  <si>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</si>
  <si>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</si>
  <si>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</si>
  <si>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</si>
  <si>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</si>
  <si>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</si>
  <si>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</si>
  <si>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</si>
  <si>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</si>
  <si>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</si>
  <si>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</si>
  <si>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</si>
  <si>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</si>
  <si>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</si>
  <si>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</si>
  <si>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</si>
  <si>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</si>
  <si>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</si>
  <si>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</si>
  <si>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</si>
  <si>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</si>
  <si>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</si>
  <si>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</si>
  <si>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</si>
  <si>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</si>
  <si>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</si>
  <si>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</si>
  <si>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</si>
  <si>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</si>
  <si>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</si>
  <si>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</si>
  <si>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</si>
  <si>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</si>
  <si>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</si>
  <si>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</si>
  <si>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</si>
  <si>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</si>
  <si>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</si>
  <si>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</si>
  <si>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</si>
  <si>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</si>
  <si>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</si>
  <si>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</si>
  <si>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</si>
  <si>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</si>
  <si>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</si>
  <si>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</si>
  <si>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</si>
  <si>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</si>
  <si>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</si>
  <si>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</si>
  <si>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</si>
  <si>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</si>
  <si>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</si>
  <si>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Hillcrest Hall LP</t>
  </si>
  <si>
    <t>Hillcrest Hall</t>
  </si>
  <si>
    <t>Paul Salib</t>
  </si>
  <si>
    <t>Authorized Signatory</t>
  </si>
  <si>
    <t>San Diego Housing Commission</t>
  </si>
  <si>
    <t>Vice President, Multihousing Finance</t>
  </si>
  <si>
    <t xml:space="preserve">1122 Broadway, Suite 300 </t>
  </si>
  <si>
    <t>(619) 578-7569</t>
  </si>
  <si>
    <t>619) 578-7356</t>
  </si>
  <si>
    <t>colinm@sdhc.org</t>
  </si>
  <si>
    <t>1601 University Avenue, San Diego,CA 92103</t>
  </si>
  <si>
    <t>452-193-01-00, 452-193-02-00, 452-193-03-00, 452-193-04-00.</t>
  </si>
  <si>
    <t>40%/60%</t>
  </si>
  <si>
    <t>122 E 42nd Street, suite 1903</t>
  </si>
  <si>
    <t>New York</t>
  </si>
  <si>
    <t>NY</t>
  </si>
  <si>
    <t>212-776-1914</t>
  </si>
  <si>
    <t>psalib@crpaffordable.com</t>
  </si>
  <si>
    <t>CRP Affordable Housing and Community Development LLC</t>
  </si>
  <si>
    <t>4915 Gambier Street</t>
  </si>
  <si>
    <t>CA</t>
  </si>
  <si>
    <t>Michael Miller</t>
  </si>
  <si>
    <t>650-464-1319</t>
  </si>
  <si>
    <t>mike@boldcommunities.org</t>
  </si>
  <si>
    <t>Managing GP</t>
  </si>
  <si>
    <t>Administrative GP</t>
  </si>
  <si>
    <t>E. Smith &amp; Company, Inc.</t>
  </si>
  <si>
    <t>Reese A. Jarrett</t>
  </si>
  <si>
    <t>reeseaj@cox.net</t>
  </si>
  <si>
    <t>4350 La Jolla Village Drive</t>
  </si>
  <si>
    <t>Seth Sterneck</t>
  </si>
  <si>
    <t>646-518-7280</t>
  </si>
  <si>
    <t>ssterneck@crpaffordable.com</t>
  </si>
  <si>
    <t>Developer</t>
  </si>
  <si>
    <t>New York, NY 10168</t>
  </si>
  <si>
    <t>Architect Orange</t>
  </si>
  <si>
    <t>144 N. Orange</t>
  </si>
  <si>
    <t>Orange, CA 92866</t>
  </si>
  <si>
    <t>RC Alley</t>
  </si>
  <si>
    <t>(714) 639 9860</t>
  </si>
  <si>
    <t>RCA@aoarchitects.com</t>
  </si>
  <si>
    <t>Hobson Bernardino + Davis LLP</t>
  </si>
  <si>
    <t>6060 Center Drive, Floor 10</t>
  </si>
  <si>
    <t>Los Angeles, CA 90045</t>
  </si>
  <si>
    <t>Jason Hobson</t>
  </si>
  <si>
    <t>213-235-9191</t>
  </si>
  <si>
    <t>jhobson@hbdlegal.com</t>
  </si>
  <si>
    <t>Ironcore Construction LLC</t>
  </si>
  <si>
    <t>4429 Morena Boulevard, Suite A</t>
  </si>
  <si>
    <t xml:space="preserve"> San Diego  CA 92127</t>
  </si>
  <si>
    <t>Tom Hodgin</t>
  </si>
  <si>
    <t>(619) 378-7878</t>
  </si>
  <si>
    <t>THodgin@ironcorecc.com</t>
  </si>
  <si>
    <t>Partner Energy</t>
  </si>
  <si>
    <t>980 Knox St. Suite 150</t>
  </si>
  <si>
    <t>Los Angeles, Ca 90502</t>
  </si>
  <si>
    <t>Kelsey Shaw</t>
  </si>
  <si>
    <t>310-356-2199</t>
  </si>
  <si>
    <t>kshaw@ptrenergy.com</t>
  </si>
  <si>
    <t>Novogradac Consulting LLP</t>
  </si>
  <si>
    <t>6700 Antioch Rd #450</t>
  </si>
  <si>
    <t>Merriam, Kansas 66204</t>
  </si>
  <si>
    <t>Thomas Stagg</t>
  </si>
  <si>
    <t>515-519-1234</t>
  </si>
  <si>
    <t>thomas.stagg@novoco.com</t>
  </si>
  <si>
    <t>Rachel Denton</t>
  </si>
  <si>
    <t>913-312-4612</t>
  </si>
  <si>
    <t>rachel.denton@novoco.com</t>
  </si>
  <si>
    <t>1122 Broadway, Suite 300</t>
  </si>
  <si>
    <t>San Diego, CA 92101</t>
  </si>
  <si>
    <t>Maurcell Gresham</t>
  </si>
  <si>
    <t>(619) 231-9400</t>
  </si>
  <si>
    <t>maurcell@sdhc.org</t>
  </si>
  <si>
    <t>1601 University Ave LLC</t>
  </si>
  <si>
    <t>Joel Hammer</t>
  </si>
  <si>
    <t>122 E 42nd Street, suite 1903, NY 10168</t>
  </si>
  <si>
    <t>Other (Specify below)</t>
  </si>
  <si>
    <t>8 Story High-rise</t>
  </si>
  <si>
    <t>2700 sft</t>
  </si>
  <si>
    <t>Community Commercial (CC-3-8)/ 72.6 units per acre</t>
  </si>
  <si>
    <t>75 Feet</t>
  </si>
  <si>
    <t>The project is in a Parking Transit Standards Priority Area - is not required to provide parking stalls</t>
  </si>
  <si>
    <t>City of San Diego Bridge to Home</t>
  </si>
  <si>
    <t>Other Electric</t>
  </si>
  <si>
    <t>City of San Diego Bridge To Home</t>
  </si>
  <si>
    <t>Ms. Colin Miller</t>
  </si>
  <si>
    <t>BOLD Communities</t>
  </si>
  <si>
    <t>Fixed</t>
  </si>
  <si>
    <t>Federal LIHTC Equity</t>
  </si>
  <si>
    <t>State LIHTC Equity</t>
  </si>
  <si>
    <t>Deferred Costs</t>
  </si>
  <si>
    <t>1200 Third Avenue, Ste 1400</t>
  </si>
  <si>
    <t>Christina Bibler</t>
  </si>
  <si>
    <t>619-236-6700</t>
  </si>
  <si>
    <t>Public</t>
  </si>
  <si>
    <t>Marcell Gresham</t>
  </si>
  <si>
    <t>619-231-9400</t>
  </si>
  <si>
    <t xml:space="preserve">4429 Morena Boulevard, Suite A </t>
  </si>
  <si>
    <t>San Diego, CA 92117</t>
  </si>
  <si>
    <t>Private</t>
  </si>
  <si>
    <t>LIHTC</t>
  </si>
  <si>
    <t>Provided</t>
  </si>
  <si>
    <t>Not Applicable</t>
  </si>
  <si>
    <t>Citibank Tax-Exempt Loan</t>
  </si>
  <si>
    <t>Citbank Taxable Loan</t>
  </si>
  <si>
    <t>Variable</t>
  </si>
  <si>
    <t>Citibank Permanent Loan</t>
  </si>
  <si>
    <t>Other: (Employee Reporting)</t>
  </si>
  <si>
    <t>Other: (Legal For Perm Loan)</t>
  </si>
  <si>
    <t>Other: (Lender, Bond Issuer, and Partnership Legal)</t>
  </si>
  <si>
    <t>Other: (CDLAC Fee)</t>
  </si>
  <si>
    <t>Other: (Miscellaneous Third-Party Costs)</t>
  </si>
  <si>
    <t>Other: (Predevelopment Loan Interest)</t>
  </si>
  <si>
    <t>Hillcrest Hall AGP LLC</t>
  </si>
  <si>
    <t>Office Salaries &amp; Expenses</t>
  </si>
  <si>
    <t>Supplies</t>
  </si>
  <si>
    <t>Real estate taxes</t>
  </si>
  <si>
    <t>E.Smith &amp; Company Inc.</t>
  </si>
  <si>
    <t xml:space="preserve">800 Iron Point Rd, </t>
  </si>
  <si>
    <t>Folsom, CA 95630</t>
  </si>
  <si>
    <t>Michelle Scoullar</t>
  </si>
  <si>
    <t>michelle.scoullar@fpimgt.com</t>
  </si>
  <si>
    <t>916-357-5312</t>
  </si>
  <si>
    <t>City of San Diego</t>
  </si>
  <si>
    <t>Other Operating Expenses</t>
  </si>
  <si>
    <t>City of San Diego BTH</t>
  </si>
  <si>
    <t>300 South Grand Avenue, Suite 3110</t>
  </si>
  <si>
    <t>Los Angeles, CA 90071</t>
  </si>
  <si>
    <t>Hao Li</t>
  </si>
  <si>
    <t>(213) 239-1914</t>
  </si>
  <si>
    <t>Loan, Tax Exempt</t>
  </si>
  <si>
    <t>1114 Avenue of Americas</t>
  </si>
  <si>
    <t>New York NY 10036</t>
  </si>
  <si>
    <t>Ground lease</t>
  </si>
  <si>
    <t>Conventional loan</t>
  </si>
  <si>
    <t>FPI Management Corporation</t>
  </si>
  <si>
    <t>CREA, LLC</t>
  </si>
  <si>
    <t>800 Third Avenue, Suite 3700</t>
  </si>
  <si>
    <t>New York, NY 10022</t>
  </si>
  <si>
    <t>Neala Martin</t>
  </si>
  <si>
    <t>212-405-2652</t>
  </si>
  <si>
    <t>nmartin@creallc.com</t>
  </si>
  <si>
    <t>SDHC Monitoring Fees</t>
  </si>
  <si>
    <t>Steve Wylder</t>
  </si>
  <si>
    <t>212-930-9400</t>
  </si>
  <si>
    <t>Safehold TI Allowance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</si>
</sst>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 numFmtId="186" formatCode="_(* #,##0.000_);_(* \(#,##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2"/>
      <name val="Arial MT"/>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37" fontId="185" fillId="0" borderId="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6" fontId="25" fillId="0" borderId="0" xfId="4503" applyNumberFormat="1" applyFont="1" applyAlignment="1">
      <alignment horizontal="center"/>
    </xf>
    <xf numFmtId="172" fontId="117" fillId="0" borderId="0" xfId="0" applyNumberFormat="1" applyFont="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0" fillId="5" borderId="114" xfId="0"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68" fontId="16" fillId="5" borderId="3"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25" xfId="8736" xr:uid="{4BA157FF-9690-48E8-B1AB-CA6F63717D12}"/>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ht="13">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ht="13">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ht="13">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ht="13">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ht="13">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ht="13">
      <c r="A18" s="204"/>
      <c r="B18" s="204"/>
      <c r="C18" s="205"/>
      <c r="D18" s="519" t="s">
        <v>2602</v>
      </c>
      <c r="E18" s="441"/>
      <c r="G18" s="441"/>
      <c r="H18" s="441"/>
      <c r="I18" s="441"/>
      <c r="J18" s="1275" t="s">
        <v>2601</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2035</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ht="13">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ht="13">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ht="13">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ht="13">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ht="13">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ht="13">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ht="13">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2036</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ht="13">
      <c r="A31" s="204"/>
      <c r="B31" s="204"/>
      <c r="C31" s="205"/>
      <c r="D31" s="455"/>
      <c r="E31" s="1263" t="s">
        <v>2517</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ht="13">
      <c r="A32" s="4"/>
      <c r="C32" s="2"/>
    </row>
    <row r="33" spans="1:38">
      <c r="A33" s="4"/>
      <c r="D33" s="1274" t="s">
        <v>2140</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ht="13">
      <c r="A35" s="4"/>
      <c r="D35" s="120"/>
      <c r="E35" s="1269" t="s">
        <v>2043</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c r="A36" s="4"/>
      <c r="D36" s="120"/>
      <c r="E36" s="1269" t="s">
        <v>2044</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653</v>
      </c>
      <c r="F40" s="1262" t="s">
        <v>1163</v>
      </c>
    </row>
    <row r="41" spans="1:38" s="1262" customFormat="1" ht="13.2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348</v>
      </c>
      <c r="F43" s="1268" t="s">
        <v>1245</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ht="13">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ht="13">
      <c r="A46" s="4"/>
      <c r="C46" s="2"/>
      <c r="D46" s="4"/>
      <c r="E46" s="4"/>
      <c r="F46" s="118" t="s">
        <v>687</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2" t="s">
        <v>2038</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1190</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2039</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ht="13">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509</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c r="A72" s="4"/>
      <c r="C72" s="2"/>
      <c r="D72" s="4"/>
      <c r="E72" s="4"/>
      <c r="F72" s="8" t="s">
        <v>509</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65" t="s">
        <v>1171</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ht="13">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ht="13">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D98" s="99"/>
      <c r="E98" s="1266" t="s">
        <v>1174</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1185</v>
      </c>
      <c r="H103" s="2"/>
      <c r="I103" s="2"/>
      <c r="K103" s="2"/>
    </row>
    <row r="104" spans="1:38" ht="13">
      <c r="B104" s="2"/>
      <c r="C104" s="2"/>
      <c r="D104" s="2" t="s">
        <v>207</v>
      </c>
      <c r="E104" s="2" t="s">
        <v>1187</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1014</v>
      </c>
      <c r="G117" s="4"/>
    </row>
    <row r="118" spans="2:10" ht="13">
      <c r="F118" s="99" t="s">
        <v>1186</v>
      </c>
      <c r="G118" s="99"/>
    </row>
    <row r="119" spans="2:10" ht="13">
      <c r="G119" s="99"/>
    </row>
    <row r="120" spans="2:10">
      <c r="E120" s="4" t="s">
        <v>763</v>
      </c>
      <c r="F120" s="98" t="s">
        <v>378</v>
      </c>
    </row>
    <row r="121" spans="2:10">
      <c r="E121" s="4"/>
      <c r="F121" s="4" t="s">
        <v>1006</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303</v>
      </c>
      <c r="E138" s="2" t="s">
        <v>2040</v>
      </c>
      <c r="F138" s="2"/>
      <c r="G138" s="2"/>
      <c r="H138" s="2"/>
    </row>
    <row r="139" spans="4:37">
      <c r="E139" t="s">
        <v>112</v>
      </c>
      <c r="F139" t="s">
        <v>52</v>
      </c>
    </row>
    <row r="140" spans="4:37">
      <c r="E140" t="s">
        <v>113</v>
      </c>
      <c r="F140" t="s">
        <v>466</v>
      </c>
    </row>
    <row r="141" spans="4:37"/>
    <row r="142" spans="4:37" ht="13">
      <c r="D142" s="2" t="s">
        <v>429</v>
      </c>
      <c r="E142" s="2" t="s">
        <v>2041</v>
      </c>
    </row>
    <row r="143" spans="4:37">
      <c r="E143" s="204" t="s">
        <v>2042</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1147</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1007</v>
      </c>
    </row>
    <row r="184" spans="2:19">
      <c r="B184" s="4"/>
      <c r="C184" s="4"/>
      <c r="E184" s="4" t="s">
        <v>709</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F339" s="4"/>
      <c r="H339" s="4"/>
      <c r="I339" s="4"/>
      <c r="J339" s="4"/>
      <c r="K339" s="4"/>
      <c r="L339" s="4"/>
      <c r="M339" s="4"/>
      <c r="N339" s="4"/>
      <c r="O339" s="4"/>
      <c r="P339" s="4"/>
      <c r="Q339" s="4"/>
      <c r="R339" s="4"/>
      <c r="S339" s="4"/>
    </row>
    <row r="340" spans="2:37" ht="13">
      <c r="B340" s="2"/>
      <c r="C340" s="2" t="s">
        <v>431</v>
      </c>
      <c r="G340" s="2" t="s">
        <v>1227</v>
      </c>
      <c r="I340" s="2"/>
      <c r="J340" s="4"/>
      <c r="K340" s="4"/>
      <c r="L340" s="4"/>
      <c r="M340" s="4"/>
      <c r="N340" s="4"/>
      <c r="O340" s="4"/>
      <c r="P340" s="4"/>
      <c r="Q340" s="4"/>
      <c r="R340" s="4"/>
      <c r="S340" s="4"/>
    </row>
    <row r="341" spans="2:37" ht="13.25" customHeight="1">
      <c r="B341" s="2"/>
      <c r="E341" s="1267" t="s">
        <v>1234</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ht="13">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ht="13">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ht="13">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ht="13">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ht="13">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0" t="s">
        <v>1225</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ht="13">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ht="13">
      <c r="A367"/>
      <c r="B367" s="2"/>
      <c r="C367"/>
      <c r="D367"/>
      <c r="E367" s="1268" t="s">
        <v>1257</v>
      </c>
    </row>
    <row r="368" spans="1:38" s="1271"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20" sqref="I120"/>
    </sheetView>
  </sheetViews>
  <sheetFormatPr defaultColWidth="9.08984375" defaultRowHeight="14"/>
  <cols>
    <col min="1" max="1" width="2.453125" style="1044" customWidth="1"/>
    <col min="2" max="9" width="14.6328125" style="1044" customWidth="1"/>
    <col min="10" max="10" width="2.36328125" style="1044" customWidth="1"/>
    <col min="11" max="11" width="11.81640625" style="1045" customWidth="1"/>
    <col min="12" max="12" width="10.6328125" style="1044" customWidth="1"/>
    <col min="13" max="13" width="10.453125" style="1044" customWidth="1"/>
    <col min="14" max="14" width="10.81640625" style="1044" customWidth="1"/>
    <col min="15" max="18" width="9.08984375" style="1044"/>
    <col min="19" max="19" width="9.453125" style="1044" bestFit="1" customWidth="1"/>
    <col min="20" max="16384" width="9.08984375" style="1044"/>
  </cols>
  <sheetData>
    <row r="1" spans="1:13" ht="30" customHeight="1">
      <c r="A1" s="2672" t="s">
        <v>1584</v>
      </c>
      <c r="B1" s="2672"/>
      <c r="C1" s="2672"/>
      <c r="D1" s="2672"/>
      <c r="E1" s="2672"/>
      <c r="F1" s="2672"/>
      <c r="G1" s="2672"/>
      <c r="H1" s="2672"/>
      <c r="I1" s="2672"/>
      <c r="J1" s="2672"/>
    </row>
    <row r="2" spans="1:13" ht="15" customHeight="1" thickBot="1">
      <c r="A2" s="1046"/>
      <c r="B2" s="1046"/>
      <c r="I2" s="1047"/>
      <c r="K2" s="1048"/>
    </row>
    <row r="3" spans="1:13" s="1051" customFormat="1" ht="20" customHeight="1">
      <c r="A3" s="1100"/>
      <c r="B3" s="1101"/>
      <c r="C3" s="1102"/>
      <c r="D3" s="1107"/>
      <c r="E3" s="1102"/>
      <c r="F3" s="1103" t="s">
        <v>1988</v>
      </c>
      <c r="G3" s="1102"/>
      <c r="H3" s="1104">
        <f>E18</f>
        <v>34169486</v>
      </c>
      <c r="I3" s="1105"/>
    </row>
    <row r="4" spans="1:13" s="1051" customFormat="1" ht="20" customHeight="1">
      <c r="B4" s="1094"/>
      <c r="D4" s="1108"/>
      <c r="F4" s="1092" t="s">
        <v>1990</v>
      </c>
      <c r="G4" s="1091" t="s">
        <v>1989</v>
      </c>
      <c r="H4" s="1093">
        <f>I18</f>
        <v>36306250</v>
      </c>
      <c r="I4" s="1095"/>
      <c r="K4" s="1055"/>
    </row>
    <row r="5" spans="1:13" s="1051" customFormat="1" ht="20" customHeight="1" thickBot="1">
      <c r="B5" s="1096"/>
      <c r="C5" s="1097"/>
      <c r="D5" s="1109"/>
      <c r="E5" s="1098"/>
      <c r="F5" s="1109" t="s">
        <v>1940</v>
      </c>
      <c r="G5" s="1110"/>
      <c r="H5" s="1106">
        <f>IFERROR(H3/H4,0)</f>
        <v>0.94114611120674818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1938</v>
      </c>
      <c r="C8" s="2676"/>
      <c r="D8" s="2676"/>
      <c r="E8" s="2677"/>
      <c r="G8" s="2652" t="s">
        <v>1939</v>
      </c>
      <c r="H8" s="2653"/>
      <c r="I8" s="2654"/>
      <c r="K8" s="1057"/>
    </row>
    <row r="9" spans="1:13" ht="15" customHeight="1">
      <c r="A9" s="1046"/>
      <c r="B9" s="2673" t="s">
        <v>1972</v>
      </c>
      <c r="C9" s="2673"/>
      <c r="D9" s="2673"/>
      <c r="E9" s="1059">
        <f>G33</f>
        <v>5987500</v>
      </c>
      <c r="G9" s="2665" t="s">
        <v>1970</v>
      </c>
      <c r="H9" s="2665"/>
      <c r="I9" s="1060">
        <f>SUMIF(Application!M554:M565,"Loan, Tax-Exempt",Application!AM554:AM565)</f>
        <v>26250000</v>
      </c>
      <c r="K9" s="1061"/>
      <c r="M9" s="1062"/>
    </row>
    <row r="10" spans="1:13" ht="15" customHeight="1" thickBot="1">
      <c r="A10" s="1046"/>
      <c r="B10" s="2673" t="s">
        <v>1973</v>
      </c>
      <c r="C10" s="2673"/>
      <c r="D10" s="2673"/>
      <c r="E10" s="1060">
        <f>G47</f>
        <v>15437736.000000002</v>
      </c>
      <c r="G10" s="2679" t="s">
        <v>1941</v>
      </c>
      <c r="H10" s="2679"/>
      <c r="I10" s="1140">
        <f>'Basis &amp; Credits'!AB78</f>
        <v>12000000</v>
      </c>
      <c r="M10" s="1062"/>
    </row>
    <row r="11" spans="1:13" ht="15" customHeight="1">
      <c r="A11" s="1046"/>
      <c r="B11" s="2666" t="s">
        <v>2262</v>
      </c>
      <c r="C11" s="2667"/>
      <c r="D11" s="2668"/>
      <c r="E11" s="1060">
        <f>SUM(E12,E13)</f>
        <v>410000</v>
      </c>
      <c r="G11" s="2664" t="s">
        <v>1981</v>
      </c>
      <c r="H11" s="2664"/>
      <c r="I11" s="1139">
        <f>I9+I10</f>
        <v>38250000</v>
      </c>
      <c r="M11" s="1062"/>
    </row>
    <row r="12" spans="1:13" ht="15" customHeight="1">
      <c r="A12" s="1063"/>
      <c r="B12" s="2674" t="s">
        <v>2264</v>
      </c>
      <c r="C12" s="2674"/>
      <c r="D12" s="2674"/>
      <c r="E12" s="1165">
        <f>G56</f>
        <v>110000</v>
      </c>
      <c r="M12" s="1062"/>
    </row>
    <row r="13" spans="1:13" ht="15" customHeight="1">
      <c r="A13" s="1049"/>
      <c r="B13" s="2674" t="s">
        <v>2265</v>
      </c>
      <c r="C13" s="2674"/>
      <c r="D13" s="2674"/>
      <c r="E13" s="1165">
        <f>G65</f>
        <v>300000</v>
      </c>
      <c r="G13" s="2652" t="s">
        <v>2004</v>
      </c>
      <c r="H13" s="2653"/>
      <c r="I13" s="2654"/>
      <c r="M13" s="1062"/>
    </row>
    <row r="14" spans="1:13" ht="15" customHeight="1">
      <c r="A14" s="1049"/>
      <c r="B14" s="2666" t="s">
        <v>2263</v>
      </c>
      <c r="C14" s="2667"/>
      <c r="D14" s="2668"/>
      <c r="E14" s="1167">
        <f>MAX(E15,E16)+E17</f>
        <v>12334250</v>
      </c>
      <c r="G14" s="2665" t="s">
        <v>139</v>
      </c>
      <c r="H14" s="2665"/>
      <c r="I14" s="1064">
        <f>15%*(AND(G120="Yes",G122&lt;&gt;""))</f>
        <v>0</v>
      </c>
      <c r="M14" s="1062"/>
    </row>
    <row r="15" spans="1:13" ht="15" customHeight="1">
      <c r="A15" s="1049"/>
      <c r="B15" s="2649" t="s">
        <v>2269</v>
      </c>
      <c r="C15" s="2650"/>
      <c r="D15" s="2651"/>
      <c r="E15" s="1165">
        <f>G80</f>
        <v>3592500</v>
      </c>
      <c r="G15" s="1137" t="s">
        <v>1982</v>
      </c>
      <c r="H15" s="1137"/>
      <c r="I15" s="1064">
        <f>IF(Application!AJ1032&gt;0,10%,IF(Application!AJ1036&gt;0,5%,0))</f>
        <v>0.05</v>
      </c>
      <c r="M15" s="1062"/>
    </row>
    <row r="16" spans="1:13" ht="15" customHeight="1">
      <c r="A16" s="1049"/>
      <c r="B16" s="2649" t="s">
        <v>2268</v>
      </c>
      <c r="C16" s="2650"/>
      <c r="D16" s="2651"/>
      <c r="E16" s="1165">
        <f>G90</f>
        <v>0</v>
      </c>
      <c r="G16" s="2665" t="s">
        <v>1983</v>
      </c>
      <c r="H16" s="2665"/>
      <c r="I16" s="1064">
        <f>G132</f>
        <v>8.1699346405228761E-4</v>
      </c>
    </row>
    <row r="17" spans="1:21" ht="15" customHeight="1" thickBot="1">
      <c r="A17" s="1049"/>
      <c r="B17" s="2649" t="s">
        <v>2267</v>
      </c>
      <c r="C17" s="2650"/>
      <c r="D17" s="2651"/>
      <c r="E17" s="1165">
        <f>G115</f>
        <v>8741750</v>
      </c>
      <c r="G17" s="2665" t="s">
        <v>2277</v>
      </c>
      <c r="H17" s="2665"/>
      <c r="I17" s="1064">
        <f>IF(AND(G139="Yes",OR(G136,G137)),IF(G143&gt;15%,15%,G143),0)</f>
        <v>0</v>
      </c>
    </row>
    <row r="18" spans="1:21" ht="15" customHeight="1">
      <c r="A18" s="1046"/>
      <c r="B18" s="2678" t="s">
        <v>1937</v>
      </c>
      <c r="C18" s="2678"/>
      <c r="D18" s="2678"/>
      <c r="E18" s="1111">
        <f>SUM(E9:E11,E14)</f>
        <v>34169486</v>
      </c>
      <c r="G18" s="1138" t="s">
        <v>1971</v>
      </c>
      <c r="H18" s="1138"/>
      <c r="I18" s="1112">
        <f>I11-((I11*I14)+(I11*I15)+(I11*I16)+(I11*I17))</f>
        <v>36306250</v>
      </c>
      <c r="M18" s="1065">
        <f>SUM(Cdlac[Quantity])</f>
        <v>97</v>
      </c>
      <c r="O18" s="1084" t="s">
        <v>582</v>
      </c>
      <c r="P18" s="1044">
        <f>MATCH(Application!T189,Application!CB160:CB217,0)</f>
        <v>37</v>
      </c>
      <c r="T18" s="1065">
        <f>SUM(Cdlac[Population])</f>
        <v>11</v>
      </c>
    </row>
    <row r="19" spans="1:21" ht="15" customHeight="1">
      <c r="A19" s="1046"/>
      <c r="B19" s="1046"/>
      <c r="C19" s="1046"/>
      <c r="D19" s="1046"/>
      <c r="E19" s="1046"/>
      <c r="L19" s="1044" t="s">
        <v>1933</v>
      </c>
      <c r="M19" s="1044" t="s">
        <v>1932</v>
      </c>
      <c r="N19" s="1044" t="s">
        <v>1944</v>
      </c>
      <c r="O19" s="1044" t="s">
        <v>1945</v>
      </c>
      <c r="P19" s="1044" t="s">
        <v>1934</v>
      </c>
      <c r="Q19" s="1044" t="s">
        <v>2260</v>
      </c>
      <c r="R19" s="1044" t="s">
        <v>1935</v>
      </c>
      <c r="S19" s="1044" t="s">
        <v>1946</v>
      </c>
      <c r="T19" s="1044" t="s">
        <v>1952</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0.7</v>
      </c>
      <c r="O20" s="1071">
        <f>IF(Cdlac[[#This Row],[Quantity]]&gt;0,IF(Cdlac[[#This Row],[Federal]],30%,IF(AND(OR(NOT($G$38),$G$38=""),$G$43),40%,Cdlac[[#This Row],[iAMI]])),"")</f>
        <v>0.7</v>
      </c>
      <c r="P20" s="1065" cm="1">
        <f t="array" ref="P20">IF(Cdlac[[#This Row],[Quantity]]&gt;0,INDEX(TcacRents,$P$18,Cdlac[[#This Row],[Bedrooms]]+1)*Cdlac[[#This Row],[AMI]],"")</f>
        <v>2170</v>
      </c>
      <c r="Q20" s="1164"/>
      <c r="R20" s="1065" cm="1">
        <f t="array" ref="R20">IF(Cdlac[[#This Row],[Quantity]]&gt;0,INDEX(HudFmrs,$P$18,Cdlac[[#This Row],[Bedrooms]]+1),"")</f>
        <v>2328</v>
      </c>
      <c r="S20" s="1065">
        <f>IF(Cdlac[[#This Row],[Quantity]]&gt;0,MAX(0,Cdlac[[#This Row],[Fair Market Rent]]-IF(AND($G$37,$G$38,$G$38&lt;&gt;"",NOT(Cdlac[[#This Row],[Federal]]),Cdlac[[#This Row],[Preservation Rent]]&lt;&gt;""),Cdlac[[#This Row],[Preservation Rent]],Cdlac[[#This Row],[Restricted Rent]])),"")</f>
        <v>158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20</v>
      </c>
      <c r="N21" s="1071">
        <f>Application!AC719</f>
        <v>0.6</v>
      </c>
      <c r="O21" s="1071">
        <f>IF(Cdlac[[#This Row],[Quantity]]&gt;0,IF(Cdlac[[#This Row],[Federal]],30%,IF(AND(OR(NOT($G$38),$G$38=""),$G$43),40%,Cdlac[[#This Row],[iAMI]])),"")</f>
        <v>0.6</v>
      </c>
      <c r="P21" s="1065" cm="1">
        <f t="array" ref="P21">IF(Cdlac[[#This Row],[Quantity]]&gt;0,INDEX(TcacRents,$P$18,Cdlac[[#This Row],[Bedrooms]]+1)*Cdlac[[#This Row],[AMI]],"")</f>
        <v>1860</v>
      </c>
      <c r="Q21" s="1164"/>
      <c r="R21" s="1065" cm="1">
        <f t="array" ref="R21">IF(Cdlac[[#This Row],[Quantity]]&gt;0,INDEX(HudFmrs,$P$18,Cdlac[[#This Row],[Bedrooms]]+1),"")</f>
        <v>2328</v>
      </c>
      <c r="S21" s="1065">
        <f>IF(Cdlac[[#This Row],[Quantity]]&gt;0,MAX(0,Cdlac[[#This Row],[Fair Market Rent]]-IF(AND($G$37,$G$38,$G$38&lt;&gt;"",NOT(Cdlac[[#This Row],[Federal]]),Cdlac[[#This Row],[Preservation Rent]]&lt;&gt;""),Cdlac[[#This Row],[Preservation Rent]],Cdlac[[#This Row],[Restricted Rent]])),"")</f>
        <v>468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1985</v>
      </c>
      <c r="D22" s="2656" t="s">
        <v>1986</v>
      </c>
      <c r="E22" s="2656" t="s">
        <v>1987</v>
      </c>
      <c r="F22" s="2656" t="s">
        <v>2608</v>
      </c>
      <c r="G22" s="2656" t="s">
        <v>1984</v>
      </c>
      <c r="H22" s="1070"/>
      <c r="I22" s="1069"/>
      <c r="L22" s="1044">
        <f>IFERROR(MIN(4,MATCH(Application!B720,UnitSizes,0)-1),"")</f>
        <v>1</v>
      </c>
      <c r="M22" s="1065">
        <f>Application!G720</f>
        <v>4</v>
      </c>
      <c r="N22" s="1071">
        <f>Application!AC720</f>
        <v>0.5</v>
      </c>
      <c r="O22" s="1071">
        <f>IF(Cdlac[[#This Row],[Quantity]]&gt;0,IF(Cdlac[[#This Row],[Federal]],30%,IF(AND(OR(NOT($G$38),$G$38=""),$G$43),40%,Cdlac[[#This Row],[iAMI]])),"")</f>
        <v>0.5</v>
      </c>
      <c r="P22" s="1065" cm="1">
        <f t="array" ref="P22">IF(Cdlac[[#This Row],[Quantity]]&gt;0,INDEX(TcacRents,$P$18,Cdlac[[#This Row],[Bedrooms]]+1)*Cdlac[[#This Row],[AMI]],"")</f>
        <v>1550</v>
      </c>
      <c r="Q22" s="1164"/>
      <c r="R22" s="1065" cm="1">
        <f t="array" ref="R22">IF(Cdlac[[#This Row],[Quantity]]&gt;0,INDEX(HudFmrs,$P$18,Cdlac[[#This Row],[Bedrooms]]+1),"")</f>
        <v>2328</v>
      </c>
      <c r="S22" s="1065">
        <f>IF(Cdlac[[#This Row],[Quantity]]&gt;0,MAX(0,Cdlac[[#This Row],[Fair Market Rent]]-IF(AND($G$37,$G$38,$G$38&lt;&gt;"",NOT(Cdlac[[#This Row],[Federal]]),Cdlac[[#This Row],[Preservation Rent]]&lt;&gt;""),Cdlac[[#This Row],[Preservation Rent]],Cdlac[[#This Row],[Restricted Rent]])),"")</f>
        <v>778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1</v>
      </c>
      <c r="M23" s="1065">
        <f>Application!G721</f>
        <v>7</v>
      </c>
      <c r="N23" s="1071">
        <f>Application!AC721</f>
        <v>0.3</v>
      </c>
      <c r="O23" s="1071">
        <f>IF(Cdlac[[#This Row],[Quantity]]&gt;0,IF(Cdlac[[#This Row],[Federal]],30%,IF(AND(OR(NOT($G$38),$G$38=""),$G$43),40%,Cdlac[[#This Row],[iAMI]])),"")</f>
        <v>0.3</v>
      </c>
      <c r="P23" s="1065" cm="1">
        <f t="array" ref="P23">IF(Cdlac[[#This Row],[Quantity]]&gt;0,INDEX(TcacRents,$P$18,Cdlac[[#This Row],[Bedrooms]]+1)*Cdlac[[#This Row],[AMI]],"")</f>
        <v>930</v>
      </c>
      <c r="Q23" s="1164"/>
      <c r="R23" s="1065" cm="1">
        <f t="array" ref="R23">IF(Cdlac[[#This Row],[Quantity]]&gt;0,INDEX(HudFmrs,$P$18,Cdlac[[#This Row],[Bedrooms]]+1),"")</f>
        <v>2328</v>
      </c>
      <c r="S23" s="1065">
        <f>IF(Cdlac[[#This Row],[Quantity]]&gt;0,MAX(0,Cdlac[[#This Row],[Fair Market Rent]]-IF(AND($G$37,$G$38,$G$38&lt;&gt;"",NOT(Cdlac[[#This Row],[Federal]]),Cdlac[[#This Row],[Preservation Rent]]&lt;&gt;""),Cdlac[[#This Row],[Preservation Rent]],Cdlac[[#This Row],[Restricted Rent]])),"")</f>
        <v>1398</v>
      </c>
      <c r="T23" s="1044">
        <f>IF(Cdlac[[#This Row],[Quantity]]&gt;0,AND(Application!AK721&lt;&gt;"N/A",Application!AK721&lt;&gt;"")*Cdlac[[#This Row],[Quantity]],"")</f>
        <v>7</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11</v>
      </c>
      <c r="N24" s="1071">
        <f>Application!AC722</f>
        <v>0.7</v>
      </c>
      <c r="O24" s="1071">
        <f>IF(Cdlac[[#This Row],[Quantity]]&gt;0,IF(Cdlac[[#This Row],[Federal]],30%,IF(AND(OR(NOT($G$38),$G$38=""),$G$43),40%,Cdlac[[#This Row],[iAMI]])),"")</f>
        <v>0.7</v>
      </c>
      <c r="P24" s="1065" cm="1">
        <f t="array" ref="P24">IF(Cdlac[[#This Row],[Quantity]]&gt;0,INDEX(TcacRents,$P$18,Cdlac[[#This Row],[Bedrooms]]+1)*Cdlac[[#This Row],[AMI]],"")</f>
        <v>2605.3999999999996</v>
      </c>
      <c r="Q24" s="1164"/>
      <c r="R24" s="1065" cm="1">
        <f t="array" ref="R24">IF(Cdlac[[#This Row],[Quantity]]&gt;0,INDEX(HudFmrs,$P$18,Cdlac[[#This Row],[Bedrooms]]+1),"")</f>
        <v>2881</v>
      </c>
      <c r="S24" s="1065">
        <f>IF(Cdlac[[#This Row],[Quantity]]&gt;0,MAX(0,Cdlac[[#This Row],[Fair Market Rent]]-IF(AND($G$37,$G$38,$G$38&lt;&gt;"",NOT(Cdlac[[#This Row],[Federal]]),Cdlac[[#This Row],[Preservation Rent]]&lt;&gt;""),Cdlac[[#This Row],[Preservation Rent]],Cdlac[[#This Row],[Restricted Rent]])),"")</f>
        <v>275.60000000000036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35</v>
      </c>
      <c r="F25" s="1072">
        <f>E25</f>
        <v>35</v>
      </c>
      <c r="G25" s="1072">
        <f>D25*F25</f>
        <v>35</v>
      </c>
      <c r="L25" s="1044">
        <f>IFERROR(MIN(4,MATCH(Application!B723,UnitSizes,0)-1),"")</f>
        <v>2</v>
      </c>
      <c r="M25" s="1065">
        <f>Application!G723</f>
        <v>10</v>
      </c>
      <c r="N25" s="1071">
        <f>Application!AC723</f>
        <v>0.6</v>
      </c>
      <c r="O25" s="1071">
        <f>IF(Cdlac[[#This Row],[Quantity]]&gt;0,IF(Cdlac[[#This Row],[Federal]],30%,IF(AND(OR(NOT($G$38),$G$38=""),$G$43),40%,Cdlac[[#This Row],[iAMI]])),"")</f>
        <v>0.6</v>
      </c>
      <c r="P25" s="1065" cm="1">
        <f t="array" ref="P25">IF(Cdlac[[#This Row],[Quantity]]&gt;0,INDEX(TcacRents,$P$18,Cdlac[[#This Row],[Bedrooms]]+1)*Cdlac[[#This Row],[AMI]],"")</f>
        <v>2233.1999999999998</v>
      </c>
      <c r="Q25" s="1164"/>
      <c r="R25" s="1065" cm="1">
        <f t="array" ref="R25">IF(Cdlac[[#This Row],[Quantity]]&gt;0,INDEX(HudFmrs,$P$18,Cdlac[[#This Row],[Bedrooms]]+1),"")</f>
        <v>2881</v>
      </c>
      <c r="S25" s="1065">
        <f>IF(Cdlac[[#This Row],[Quantity]]&gt;0,MAX(0,Cdlac[[#This Row],[Fair Market Rent]]-IF(AND($G$37,$G$38,$G$38&lt;&gt;"",NOT(Cdlac[[#This Row],[Federal]]),Cdlac[[#This Row],[Preservation Rent]]&lt;&gt;""),Cdlac[[#This Row],[Preservation Rent]],Cdlac[[#This Row],[Restricted Rent]])),"")</f>
        <v>647.80000000000018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28</v>
      </c>
      <c r="F26" s="1075">
        <f>SUM(E26:E28)-SUM(F27:F28)</f>
        <v>33</v>
      </c>
      <c r="G26" s="1072">
        <f>D26*F26</f>
        <v>41.25</v>
      </c>
      <c r="H26" s="1074"/>
      <c r="I26" s="1074"/>
      <c r="L26" s="1044">
        <f>IFERROR(MIN(4,MATCH(Application!B724,UnitSizes,0)-1),"")</f>
        <v>2</v>
      </c>
      <c r="M26" s="1065">
        <f>Application!G724</f>
        <v>3</v>
      </c>
      <c r="N26" s="1071">
        <f>Application!AC724</f>
        <v>0.5</v>
      </c>
      <c r="O26" s="1071">
        <f>IF(Cdlac[[#This Row],[Quantity]]&gt;0,IF(Cdlac[[#This Row],[Federal]],30%,IF(AND(OR(NOT($G$38),$G$38=""),$G$43),40%,Cdlac[[#This Row],[iAMI]])),"")</f>
        <v>0.5</v>
      </c>
      <c r="P26" s="1065" cm="1">
        <f t="array" ref="P26">IF(Cdlac[[#This Row],[Quantity]]&gt;0,INDEX(TcacRents,$P$18,Cdlac[[#This Row],[Bedrooms]]+1)*Cdlac[[#This Row],[AMI]],"")</f>
        <v>1861</v>
      </c>
      <c r="Q26" s="1164"/>
      <c r="R26" s="1065" cm="1">
        <f t="array" ref="R26">IF(Cdlac[[#This Row],[Quantity]]&gt;0,INDEX(HudFmrs,$P$18,Cdlac[[#This Row],[Bedrooms]]+1),"")</f>
        <v>2881</v>
      </c>
      <c r="S26" s="1065">
        <f>IF(Cdlac[[#This Row],[Quantity]]&gt;0,MAX(0,Cdlac[[#This Row],[Fair Market Rent]]-IF(AND($G$37,$G$38,$G$38&lt;&gt;"",NOT(Cdlac[[#This Row],[Federal]]),Cdlac[[#This Row],[Preservation Rent]]&lt;&gt;""),Cdlac[[#This Row],[Preservation Rent]],Cdlac[[#This Row],[Restricted Rent]])),"")</f>
        <v>1020</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34</v>
      </c>
      <c r="F27" s="1075">
        <f>MIN(E27,ROUNDDOWN(E29*30%,0))</f>
        <v>29</v>
      </c>
      <c r="G27" s="1072">
        <f>D27*F27</f>
        <v>43.5</v>
      </c>
      <c r="H27" s="1074"/>
      <c r="I27" s="1074"/>
      <c r="L27" s="1044">
        <f>IFERROR(MIN(4,MATCH(Application!B725,UnitSizes,0)-1),"")</f>
        <v>2</v>
      </c>
      <c r="M27" s="1065">
        <f>Application!G725</f>
        <v>4</v>
      </c>
      <c r="N27" s="1071">
        <f>Application!AC725</f>
        <v>0.3</v>
      </c>
      <c r="O27" s="1071">
        <f>IF(Cdlac[[#This Row],[Quantity]]&gt;0,IF(Cdlac[[#This Row],[Federal]],30%,IF(AND(OR(NOT($G$38),$G$38=""),$G$43),40%,Cdlac[[#This Row],[iAMI]])),"")</f>
        <v>0.3</v>
      </c>
      <c r="P27" s="1065" cm="1">
        <f t="array" ref="P27">IF(Cdlac[[#This Row],[Quantity]]&gt;0,INDEX(TcacRents,$P$18,Cdlac[[#This Row],[Bedrooms]]+1)*Cdlac[[#This Row],[AMI]],"")</f>
        <v>1116.5999999999999</v>
      </c>
      <c r="Q27" s="1164"/>
      <c r="R27" s="1065" cm="1">
        <f t="array" ref="R27">IF(Cdlac[[#This Row],[Quantity]]&gt;0,INDEX(HudFmrs,$P$18,Cdlac[[#This Row],[Bedrooms]]+1),"")</f>
        <v>2881</v>
      </c>
      <c r="S27" s="1065">
        <f>IF(Cdlac[[#This Row],[Quantity]]&gt;0,MAX(0,Cdlac[[#This Row],[Fair Market Rent]]-IF(AND($G$37,$G$38,$G$38&lt;&gt;"",NOT(Cdlac[[#This Row],[Federal]]),Cdlac[[#This Row],[Preservation Rent]]&lt;&gt;""),Cdlac[[#This Row],[Preservation Rent]],Cdlac[[#This Row],[Restricted Rent]])),"")</f>
        <v>1764.4</v>
      </c>
      <c r="T27" s="1044">
        <f>IF(Cdlac[[#This Row],[Quantity]]&gt;0,AND(Application!AK725&lt;&gt;"N/A",Application!AK725&lt;&gt;"")*Cdlac[[#This Row],[Quantity]],"")</f>
        <v>4</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16</v>
      </c>
      <c r="N28" s="1071">
        <f>Application!AC726</f>
        <v>0.7</v>
      </c>
      <c r="O28" s="1071">
        <f>IF(Cdlac[[#This Row],[Quantity]]&gt;0,IF(Cdlac[[#This Row],[Federal]],30%,IF(AND(OR(NOT($G$38),$G$38=""),$G$43),40%,Cdlac[[#This Row],[iAMI]])),"")</f>
        <v>0.7</v>
      </c>
      <c r="P28" s="1065" cm="1">
        <f t="array" ref="P28">IF(Cdlac[[#This Row],[Quantity]]&gt;0,INDEX(TcacRents,$P$18,Cdlac[[#This Row],[Bedrooms]]+1)*Cdlac[[#This Row],[AMI]],"")</f>
        <v>3010</v>
      </c>
      <c r="Q28" s="1164"/>
      <c r="R28" s="1065" cm="1">
        <f t="array" ref="R28">IF(Cdlac[[#This Row],[Quantity]]&gt;0,INDEX(HudFmrs,$P$18,Cdlac[[#This Row],[Bedrooms]]+1),"")</f>
        <v>3852</v>
      </c>
      <c r="S28" s="1065">
        <f>IF(Cdlac[[#This Row],[Quantity]]&gt;0,MAX(0,Cdlac[[#This Row],[Fair Market Rent]]-IF(AND($G$37,$G$38,$G$38&lt;&gt;"",NOT(Cdlac[[#This Row],[Federal]]),Cdlac[[#This Row],[Preservation Rent]]&lt;&gt;""),Cdlac[[#This Row],[Preservation Rent]],Cdlac[[#This Row],[Restricted Rent]])),"")</f>
        <v>842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8" t="s">
        <v>1585</v>
      </c>
      <c r="D29" s="2659"/>
      <c r="E29" s="1089">
        <f>SUM(E24:E28)</f>
        <v>97</v>
      </c>
      <c r="F29" s="1089">
        <f>SUM(F24:F28)</f>
        <v>97</v>
      </c>
      <c r="G29" s="1090">
        <f>SUMPRODUCT(D24:D28,F24:F28)</f>
        <v>119.75</v>
      </c>
      <c r="H29" s="1074"/>
      <c r="I29" s="1074"/>
      <c r="L29" s="1044">
        <f>IFERROR(MIN(4,MATCH(Application!B727,UnitSizes,0)-1),"")</f>
        <v>3</v>
      </c>
      <c r="M29" s="1065">
        <f>Application!G727</f>
        <v>10</v>
      </c>
      <c r="N29" s="1071">
        <f>Application!AC727</f>
        <v>0.6</v>
      </c>
      <c r="O29" s="1071">
        <f>IF(Cdlac[[#This Row],[Quantity]]&gt;0,IF(Cdlac[[#This Row],[Federal]],30%,IF(AND(OR(NOT($G$38),$G$38=""),$G$43),40%,Cdlac[[#This Row],[iAMI]])),"")</f>
        <v>0.6</v>
      </c>
      <c r="P29" s="1065" cm="1">
        <f t="array" ref="P29">IF(Cdlac[[#This Row],[Quantity]]&gt;0,INDEX(TcacRents,$P$18,Cdlac[[#This Row],[Bedrooms]]+1)*Cdlac[[#This Row],[AMI]],"")</f>
        <v>2580</v>
      </c>
      <c r="Q29" s="1164"/>
      <c r="R29" s="1065" cm="1">
        <f t="array" ref="R29">IF(Cdlac[[#This Row],[Quantity]]&gt;0,INDEX(HudFmrs,$P$18,Cdlac[[#This Row],[Bedrooms]]+1),"")</f>
        <v>3852</v>
      </c>
      <c r="S29" s="1065">
        <f>IF(Cdlac[[#This Row],[Quantity]]&gt;0,MAX(0,Cdlac[[#This Row],[Fair Market Rent]]-IF(AND($G$37,$G$38,$G$38&lt;&gt;"",NOT(Cdlac[[#This Row],[Federal]]),Cdlac[[#This Row],[Preservation Rent]]&lt;&gt;""),Cdlac[[#This Row],[Preservation Rent]],Cdlac[[#This Row],[Restricted Rent]])),"")</f>
        <v>1272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4</v>
      </c>
      <c r="N30" s="1071">
        <f>Application!AC728</f>
        <v>0.5</v>
      </c>
      <c r="O30" s="1071">
        <f>IF(Cdlac[[#This Row],[Quantity]]&gt;0,IF(Cdlac[[#This Row],[Federal]],30%,IF(AND(OR(NOT($G$38),$G$38=""),$G$43),40%,Cdlac[[#This Row],[iAMI]])),"")</f>
        <v>0.5</v>
      </c>
      <c r="P30" s="1065" cm="1">
        <f t="array" ref="P30">IF(Cdlac[[#This Row],[Quantity]]&gt;0,INDEX(TcacRents,$P$18,Cdlac[[#This Row],[Bedrooms]]+1)*Cdlac[[#This Row],[AMI]],"")</f>
        <v>2150</v>
      </c>
      <c r="Q30" s="1164"/>
      <c r="R30" s="1065" cm="1">
        <f t="array" ref="R30">IF(Cdlac[[#This Row],[Quantity]]&gt;0,INDEX(HudFmrs,$P$18,Cdlac[[#This Row],[Bedrooms]]+1),"")</f>
        <v>3852</v>
      </c>
      <c r="S30" s="1065">
        <f>IF(Cdlac[[#This Row],[Quantity]]&gt;0,MAX(0,Cdlac[[#This Row],[Fair Market Rent]]-IF(AND($G$37,$G$38,$G$38&lt;&gt;"",NOT(Cdlac[[#This Row],[Federal]]),Cdlac[[#This Row],[Preservation Rent]]&lt;&gt;""),Cdlac[[#This Row],[Preservation Rent]],Cdlac[[#This Row],[Restricted Rent]])),"")</f>
        <v>1702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119.75</v>
      </c>
      <c r="H31" s="1074"/>
      <c r="I31" s="1074"/>
      <c r="L31" s="1044">
        <f>IFERROR(MIN(4,MATCH(Application!B729,UnitSizes,0)-1),"")</f>
        <v>3</v>
      </c>
      <c r="M31" s="1065">
        <f>Application!G729</f>
        <v>4</v>
      </c>
      <c r="N31" s="1071">
        <f>Application!AC729</f>
        <v>0.3</v>
      </c>
      <c r="O31" s="1071">
        <f>IF(Cdlac[[#This Row],[Quantity]]&gt;0,IF(Cdlac[[#This Row],[Federal]],30%,IF(AND(OR(NOT($G$38),$G$38=""),$G$43),40%,Cdlac[[#This Row],[iAMI]])),"")</f>
        <v>0.3</v>
      </c>
      <c r="P31" s="1065" cm="1">
        <f t="array" ref="P31">IF(Cdlac[[#This Row],[Quantity]]&gt;0,INDEX(TcacRents,$P$18,Cdlac[[#This Row],[Bedrooms]]+1)*Cdlac[[#This Row],[AMI]],"")</f>
        <v>1290</v>
      </c>
      <c r="Q31" s="1164"/>
      <c r="R31" s="1065" cm="1">
        <f t="array" ref="R31">IF(Cdlac[[#This Row],[Quantity]]&gt;0,INDEX(HudFmrs,$P$18,Cdlac[[#This Row],[Bedrooms]]+1),"")</f>
        <v>3852</v>
      </c>
      <c r="S31" s="1065">
        <f>IF(Cdlac[[#This Row],[Quantity]]&gt;0,MAX(0,Cdlac[[#This Row],[Fair Market Rent]]-IF(AND($G$37,$G$38,$G$38&lt;&gt;"",NOT(Cdlac[[#This Row],[Federal]]),Cdlac[[#This Row],[Preservation Rent]]&lt;&gt;""),Cdlac[[#This Row],[Preservation Rent]],Cdlac[[#This Row],[Restricted Rent]])),"")</f>
        <v>2562</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5987500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0.57422680412371141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85765.200000000012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15437736.000000002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11</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48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11</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110000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15</v>
      </c>
    </row>
    <row r="61" spans="2:21" ht="15" customHeight="1">
      <c r="E61" s="1117" t="s">
        <v>1993</v>
      </c>
      <c r="G61" s="1079">
        <f>ROUNDDOWN(E29*50%,0)</f>
        <v>48</v>
      </c>
    </row>
    <row r="62" spans="2:21" ht="15" customHeight="1">
      <c r="E62" s="1117"/>
      <c r="G62" s="1079"/>
    </row>
    <row r="63" spans="2:21" ht="15" customHeight="1">
      <c r="E63" s="1117" t="s">
        <v>1953</v>
      </c>
      <c r="G63" s="1114">
        <f>MIN(G60:G61)</f>
        <v>15</v>
      </c>
    </row>
    <row r="64" spans="2:21" ht="15" customHeight="1">
      <c r="E64" s="1117" t="s">
        <v>1943</v>
      </c>
      <c r="F64" s="1113" t="s">
        <v>1991</v>
      </c>
      <c r="G64" s="1124">
        <v>20000</v>
      </c>
    </row>
    <row r="65" spans="2:14" ht="15" customHeight="1">
      <c r="E65" s="1118" t="s">
        <v>1975</v>
      </c>
      <c r="F65" s="1046"/>
      <c r="G65" s="1123">
        <f>G63*G64</f>
        <v>300000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545</v>
      </c>
    </row>
    <row r="70" spans="2:14" ht="15" customHeight="1">
      <c r="C70" s="1077" t="s">
        <v>1980</v>
      </c>
      <c r="G70" s="1081" t="str">
        <f>IF(Application!D211="Large Family","Yes","No")</f>
        <v>Yes</v>
      </c>
    </row>
    <row r="71" spans="2:14" ht="15" customHeight="1" thickBot="1">
      <c r="C71" s="1077" t="s">
        <v>1966</v>
      </c>
      <c r="G71" s="1043" t="s">
        <v>669</v>
      </c>
    </row>
    <row r="72" spans="2:14" ht="15" customHeight="1">
      <c r="C72" s="1077" t="s">
        <v>1967</v>
      </c>
      <c r="G72" s="1044" t="str">
        <f>Application!T193</f>
        <v>Highest Resource</v>
      </c>
      <c r="L72" s="2669" t="s">
        <v>1968</v>
      </c>
      <c r="M72" s="2670"/>
      <c r="N72" s="1131">
        <v>30000</v>
      </c>
    </row>
    <row r="73" spans="2:14" ht="15" customHeight="1">
      <c r="C73" s="2671" t="s">
        <v>2261</v>
      </c>
      <c r="D73" s="2671"/>
      <c r="E73" s="2671"/>
      <c r="F73" s="2671"/>
      <c r="G73" s="1043" t="s">
        <v>669</v>
      </c>
      <c r="L73" s="2680" t="s">
        <v>1936</v>
      </c>
      <c r="M73" s="2681"/>
      <c r="N73" s="1132">
        <v>20000</v>
      </c>
    </row>
    <row r="74" spans="2:14" ht="15" customHeight="1" thickBot="1">
      <c r="C74" s="2671"/>
      <c r="D74" s="2671"/>
      <c r="E74" s="2671"/>
      <c r="F74" s="2671"/>
      <c r="L74" s="2682" t="s">
        <v>1969</v>
      </c>
      <c r="M74" s="2683"/>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30000</v>
      </c>
    </row>
    <row r="79" spans="2:14" ht="15" customHeight="1">
      <c r="E79" s="1084" t="str">
        <f>E96</f>
        <v>Bedroom-Adjusted Low-Income Units</v>
      </c>
      <c r="F79" s="1113" t="s">
        <v>1991</v>
      </c>
      <c r="G79" s="1114">
        <f>G29</f>
        <v>119.75</v>
      </c>
    </row>
    <row r="80" spans="2:14" ht="15" customHeight="1">
      <c r="D80" s="1046"/>
      <c r="E80" s="1118" t="s">
        <v>2266</v>
      </c>
      <c r="F80" s="1046"/>
      <c r="G80" s="1123">
        <f>G79*G78*G76</f>
        <v>3592500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669</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119.75</v>
      </c>
    </row>
    <row r="89" spans="2:9" ht="15" customHeight="1">
      <c r="E89" s="1084" t="s">
        <v>1943</v>
      </c>
      <c r="F89" s="1113" t="s">
        <v>1991</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119.75</v>
      </c>
    </row>
    <row r="97" spans="2:14" ht="15" customHeight="1">
      <c r="E97" s="1118" t="s">
        <v>1960</v>
      </c>
      <c r="F97" s="1046"/>
      <c r="G97" s="1123">
        <f>G94*G95*G96</f>
        <v>3353000</v>
      </c>
      <c r="L97" s="1127" t="str">
        <f>'Points System'!H638</f>
        <v>(i)</v>
      </c>
      <c r="M97" s="2688" t="s">
        <v>1404</v>
      </c>
      <c r="N97" s="2689"/>
    </row>
    <row r="98" spans="2:14" ht="15" customHeight="1">
      <c r="C98" s="1077"/>
      <c r="G98" s="1114"/>
      <c r="L98" s="1128" t="str">
        <f>'Points System'!H650</f>
        <v>(i)</v>
      </c>
      <c r="M98" s="2684" t="s">
        <v>1955</v>
      </c>
      <c r="N98" s="2685"/>
    </row>
    <row r="99" spans="2:14" ht="15" customHeight="1">
      <c r="E99" s="1084" t="s">
        <v>1996</v>
      </c>
      <c r="G99" s="1126">
        <f>COUNTIFS(L97:L104,"(i)")</f>
        <v>5</v>
      </c>
      <c r="L99" s="1128" t="str">
        <f>'Points System'!H685</f>
        <v>(i)</v>
      </c>
      <c r="M99" s="2684" t="s">
        <v>1956</v>
      </c>
      <c r="N99" s="2685"/>
    </row>
    <row r="100" spans="2:14" ht="15" customHeight="1">
      <c r="E100" s="1084" t="s">
        <v>1943</v>
      </c>
      <c r="F100" s="1113" t="s">
        <v>1991</v>
      </c>
      <c r="G100" s="1124">
        <v>4000</v>
      </c>
      <c r="L100" s="1128" t="str">
        <f>IF(OR('Points System'!H709="(ii)",'Points System'!H709="(i)"),"(i)","N/A")</f>
        <v>(i)</v>
      </c>
      <c r="M100" s="2684" t="s">
        <v>1957</v>
      </c>
      <c r="N100" s="2685"/>
    </row>
    <row r="101" spans="2:14" ht="15" customHeight="1">
      <c r="E101" s="1118" t="s">
        <v>1961</v>
      </c>
      <c r="F101" s="1046"/>
      <c r="G101" s="1123">
        <f>G96*G99*G100</f>
        <v>2395000</v>
      </c>
      <c r="L101" s="1129" t="str">
        <f>'Points System'!H723</f>
        <v>N/A</v>
      </c>
      <c r="M101" s="2684" t="s">
        <v>1430</v>
      </c>
      <c r="N101" s="2685"/>
    </row>
    <row r="102" spans="2:14" ht="15" customHeight="1">
      <c r="L102" s="1128" t="str">
        <f>'Points System'!H735</f>
        <v>N/A</v>
      </c>
      <c r="M102" s="2684" t="s">
        <v>1958</v>
      </c>
      <c r="N102" s="2685"/>
    </row>
    <row r="103" spans="2:14" ht="15" customHeight="1">
      <c r="C103" s="1080" t="s">
        <v>1963</v>
      </c>
      <c r="L103" s="1128" t="str">
        <f>'Points System'!H751</f>
        <v>(ii)</v>
      </c>
      <c r="M103" s="2684" t="s">
        <v>1959</v>
      </c>
      <c r="N103" s="2685"/>
    </row>
    <row r="104" spans="2:14" ht="15" customHeight="1" thickBot="1">
      <c r="C104" s="1077" t="s">
        <v>1964</v>
      </c>
      <c r="G104" s="1043"/>
      <c r="L104" s="1130" t="str">
        <f>'Points System'!H763</f>
        <v>(i)</v>
      </c>
      <c r="M104" s="2686" t="s">
        <v>1433</v>
      </c>
      <c r="N104" s="2687"/>
    </row>
    <row r="105" spans="2:14" ht="15" customHeight="1">
      <c r="C105" s="1077" t="s">
        <v>1965</v>
      </c>
      <c r="G105" s="1043"/>
    </row>
    <row r="106" spans="2:14" ht="15" customHeight="1">
      <c r="C106" s="1077" t="s">
        <v>2138</v>
      </c>
      <c r="G106" s="1043" t="s">
        <v>545</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119.75</v>
      </c>
    </row>
    <row r="112" spans="2:14" ht="15" customHeight="1">
      <c r="E112" s="1084" t="s">
        <v>1943</v>
      </c>
      <c r="F112" s="1113" t="s">
        <v>1991</v>
      </c>
      <c r="G112" s="1124">
        <v>25000</v>
      </c>
    </row>
    <row r="113" spans="2:9" ht="15" customHeight="1">
      <c r="E113" s="1118" t="s">
        <v>1962</v>
      </c>
      <c r="F113" s="1046"/>
      <c r="G113" s="1123">
        <f>G109*G112*G96</f>
        <v>2993750</v>
      </c>
    </row>
    <row r="114" spans="2:9" ht="15" customHeight="1">
      <c r="C114" s="1077"/>
      <c r="E114" s="1077"/>
    </row>
    <row r="115" spans="2:9" ht="15" customHeight="1">
      <c r="E115" s="1118" t="s">
        <v>2271</v>
      </c>
      <c r="G115" s="1123">
        <f>G113+G101+G97</f>
        <v>8741750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2226</v>
      </c>
      <c r="D119" s="2660"/>
      <c r="E119" s="2660"/>
      <c r="F119" s="2660"/>
    </row>
    <row r="120" spans="2:9" ht="15" customHeight="1">
      <c r="C120" s="2660"/>
      <c r="D120" s="2660"/>
      <c r="E120" s="2660"/>
      <c r="F120" s="2660"/>
      <c r="G120" s="1043"/>
    </row>
    <row r="121" spans="2:9" ht="15" customHeight="1"/>
    <row r="122" spans="2:9" ht="15" customHeight="1">
      <c r="C122" s="1044" t="s">
        <v>2228</v>
      </c>
      <c r="G122" s="2662"/>
      <c r="H122" s="2662"/>
    </row>
    <row r="123" spans="2:9" ht="15" customHeight="1">
      <c r="G123" s="2662"/>
      <c r="H123" s="2662"/>
    </row>
    <row r="124" spans="2:9" ht="15" customHeight="1">
      <c r="G124" s="2663"/>
      <c r="H124" s="2663"/>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1999</v>
      </c>
      <c r="G131" s="1078">
        <f>MEDIAN((Application!CU160:CU217))</f>
        <v>489600</v>
      </c>
    </row>
    <row r="132" spans="2:9">
      <c r="D132" s="1046"/>
      <c r="E132" s="1118" t="s">
        <v>2001</v>
      </c>
      <c r="F132" s="1134"/>
      <c r="G132" s="1135">
        <f>((G130-G131)/G131)*0.25</f>
        <v>8.1699346405228761E-4</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5" t="s">
        <v>2274</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3937500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E18" sqref="E18"/>
    </sheetView>
  </sheetViews>
  <sheetFormatPr defaultColWidth="9.089843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08984375" style="304"/>
  </cols>
  <sheetData>
    <row r="1" spans="1:12">
      <c r="A1" s="2690" t="s">
        <v>909</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4.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4</v>
      </c>
      <c r="C4" s="1162"/>
      <c r="D4" s="428">
        <f>Application!O718</f>
        <v>2084.3969999999999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20</v>
      </c>
      <c r="C5" s="1162"/>
      <c r="D5" s="428">
        <f>Application!O719</f>
        <v>1774.3409999999999</v>
      </c>
      <c r="E5" s="429"/>
      <c r="F5" s="1083"/>
      <c r="G5" s="428">
        <f t="shared" ref="G5:G38" si="2">F5*B5</f>
        <v>0</v>
      </c>
      <c r="H5" s="429"/>
      <c r="I5" s="428" t="str">
        <f t="shared" si="0"/>
        <v/>
      </c>
      <c r="J5" s="428" t="str">
        <f t="shared" si="1"/>
        <v/>
      </c>
      <c r="K5" s="204"/>
      <c r="L5" s="305"/>
    </row>
    <row r="6" spans="1:12">
      <c r="A6" s="428" t="str">
        <f>Application!B720</f>
        <v>1 Bedroom</v>
      </c>
      <c r="B6" s="1082">
        <f>Application!G720</f>
        <v>4</v>
      </c>
      <c r="C6" s="1162"/>
      <c r="D6" s="428">
        <f>Application!O720</f>
        <v>1464.2840000000001</v>
      </c>
      <c r="E6" s="429"/>
      <c r="F6" s="1083"/>
      <c r="G6" s="428">
        <f t="shared" si="2"/>
        <v>0</v>
      </c>
      <c r="H6" s="429"/>
      <c r="I6" s="428" t="str">
        <f t="shared" si="0"/>
        <v/>
      </c>
      <c r="J6" s="428" t="str">
        <f t="shared" si="1"/>
        <v/>
      </c>
      <c r="K6" s="204"/>
      <c r="L6" s="305"/>
    </row>
    <row r="7" spans="1:12">
      <c r="A7" s="428" t="str">
        <f>Application!B721</f>
        <v>1 Bedroom</v>
      </c>
      <c r="B7" s="1082">
        <f>Application!G721</f>
        <v>7</v>
      </c>
      <c r="C7" s="1162"/>
      <c r="D7" s="428">
        <f>Application!O721</f>
        <v>844.17</v>
      </c>
      <c r="E7" s="429"/>
      <c r="F7" s="1083"/>
      <c r="G7" s="428">
        <f t="shared" si="2"/>
        <v>0</v>
      </c>
      <c r="H7" s="429"/>
      <c r="I7" s="428" t="str">
        <f t="shared" si="0"/>
        <v/>
      </c>
      <c r="J7" s="428" t="str">
        <f t="shared" si="1"/>
        <v/>
      </c>
      <c r="K7" s="204"/>
      <c r="L7" s="305"/>
    </row>
    <row r="8" spans="1:12">
      <c r="A8" s="428" t="str">
        <f>Application!B722</f>
        <v>2 Bedrooms</v>
      </c>
      <c r="B8" s="1082">
        <f>Application!G722</f>
        <v>11</v>
      </c>
      <c r="C8" s="1162"/>
      <c r="D8" s="428">
        <f>Application!O722</f>
        <v>2491</v>
      </c>
      <c r="E8" s="429"/>
      <c r="F8" s="1083"/>
      <c r="G8" s="428">
        <f t="shared" si="2"/>
        <v>0</v>
      </c>
      <c r="H8" s="429"/>
      <c r="I8" s="428" t="str">
        <f t="shared" si="0"/>
        <v/>
      </c>
      <c r="J8" s="428" t="str">
        <f t="shared" si="1"/>
        <v/>
      </c>
      <c r="K8" s="204"/>
      <c r="L8" s="305"/>
    </row>
    <row r="9" spans="1:12">
      <c r="A9" s="428" t="str">
        <f>Application!B723</f>
        <v>2 Bedrooms</v>
      </c>
      <c r="B9" s="1082">
        <f>Application!G723</f>
        <v>10</v>
      </c>
      <c r="C9" s="1162"/>
      <c r="D9" s="428">
        <f>Application!O723</f>
        <v>2119</v>
      </c>
      <c r="E9" s="429"/>
      <c r="F9" s="1083"/>
      <c r="G9" s="428">
        <f t="shared" si="2"/>
        <v>0</v>
      </c>
      <c r="H9" s="429"/>
      <c r="I9" s="428" t="str">
        <f t="shared" si="0"/>
        <v/>
      </c>
      <c r="J9" s="428" t="str">
        <f t="shared" si="1"/>
        <v/>
      </c>
      <c r="K9" s="204"/>
      <c r="L9" s="305"/>
    </row>
    <row r="10" spans="1:12">
      <c r="A10" s="428" t="str">
        <f>Application!B724</f>
        <v>2 Bedrooms</v>
      </c>
      <c r="B10" s="1082">
        <f>Application!G724</f>
        <v>3</v>
      </c>
      <c r="C10" s="1162"/>
      <c r="D10" s="428">
        <f>Application!O724</f>
        <v>1747.432</v>
      </c>
      <c r="E10" s="429"/>
      <c r="F10" s="1083"/>
      <c r="G10" s="428">
        <f t="shared" si="2"/>
        <v>0</v>
      </c>
      <c r="H10" s="429"/>
      <c r="I10" s="428" t="str">
        <f t="shared" si="0"/>
        <v/>
      </c>
      <c r="J10" s="428" t="str">
        <f t="shared" si="1"/>
        <v/>
      </c>
      <c r="K10" s="204"/>
      <c r="L10" s="305"/>
    </row>
    <row r="11" spans="1:12">
      <c r="A11" s="428" t="str">
        <f>Application!B725</f>
        <v>2 Bedrooms</v>
      </c>
      <c r="B11" s="1082">
        <f>Application!G725</f>
        <v>4</v>
      </c>
      <c r="C11" s="1162"/>
      <c r="D11" s="428">
        <f>Application!O725</f>
        <v>1002</v>
      </c>
      <c r="E11" s="429"/>
      <c r="F11" s="1083"/>
      <c r="G11" s="428">
        <f t="shared" si="2"/>
        <v>0</v>
      </c>
      <c r="H11" s="429"/>
      <c r="I11" s="428" t="str">
        <f t="shared" si="0"/>
        <v/>
      </c>
      <c r="J11" s="428" t="str">
        <f t="shared" si="1"/>
        <v/>
      </c>
      <c r="K11" s="204"/>
      <c r="L11" s="305"/>
    </row>
    <row r="12" spans="1:12">
      <c r="A12" s="428" t="str">
        <f>Application!B726</f>
        <v>3 Bedrooms</v>
      </c>
      <c r="B12" s="1082">
        <f>Application!G726</f>
        <v>16</v>
      </c>
      <c r="C12" s="1162"/>
      <c r="D12" s="428">
        <f>Application!O726</f>
        <v>2864</v>
      </c>
      <c r="E12" s="429"/>
      <c r="F12" s="1083"/>
      <c r="G12" s="428">
        <f t="shared" si="2"/>
        <v>0</v>
      </c>
      <c r="H12" s="429"/>
      <c r="I12" s="428" t="str">
        <f t="shared" si="0"/>
        <v/>
      </c>
      <c r="J12" s="428" t="str">
        <f t="shared" si="1"/>
        <v/>
      </c>
      <c r="K12" s="204"/>
      <c r="L12" s="305"/>
    </row>
    <row r="13" spans="1:12">
      <c r="A13" s="428" t="str">
        <f>Application!B727</f>
        <v>3 Bedrooms</v>
      </c>
      <c r="B13" s="1082">
        <f>Application!G727</f>
        <v>10</v>
      </c>
      <c r="C13" s="1162"/>
      <c r="D13" s="428">
        <f>Application!O727</f>
        <v>2434</v>
      </c>
      <c r="E13" s="429"/>
      <c r="F13" s="1083"/>
      <c r="G13" s="428">
        <f t="shared" si="2"/>
        <v>0</v>
      </c>
      <c r="H13" s="429"/>
      <c r="I13" s="428" t="str">
        <f t="shared" si="0"/>
        <v/>
      </c>
      <c r="J13" s="428" t="str">
        <f t="shared" si="1"/>
        <v/>
      </c>
      <c r="K13" s="204"/>
      <c r="L13" s="305"/>
    </row>
    <row r="14" spans="1:12">
      <c r="A14" s="428" t="str">
        <f>Application!B728</f>
        <v>3 Bedrooms</v>
      </c>
      <c r="B14" s="1082">
        <f>Application!G728</f>
        <v>4</v>
      </c>
      <c r="C14" s="1162"/>
      <c r="D14" s="428">
        <f>Application!O728</f>
        <v>2004</v>
      </c>
      <c r="E14" s="429"/>
      <c r="F14" s="1083"/>
      <c r="G14" s="428">
        <f t="shared" si="2"/>
        <v>0</v>
      </c>
      <c r="H14" s="429"/>
      <c r="I14" s="428" t="str">
        <f t="shared" si="0"/>
        <v/>
      </c>
      <c r="J14" s="428" t="str">
        <f t="shared" si="1"/>
        <v/>
      </c>
      <c r="K14" s="204"/>
      <c r="L14" s="305"/>
    </row>
    <row r="15" spans="1:12">
      <c r="A15" s="428" t="str">
        <f>Application!B729</f>
        <v>3 Bedrooms</v>
      </c>
      <c r="B15" s="1082">
        <f>Application!G729</f>
        <v>4</v>
      </c>
      <c r="C15" s="1162"/>
      <c r="D15" s="428">
        <f>Application!O729</f>
        <v>1144.4480000000001</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196189.82199999999</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691" t="s">
        <v>2495</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2257</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38" zoomScale="90" zoomScaleNormal="90" workbookViewId="0">
      <selection activeCell="A69" sqref="A69"/>
    </sheetView>
  </sheetViews>
  <sheetFormatPr defaultColWidth="0" defaultRowHeight="12.5" zeroHeight="1"/>
  <cols>
    <col min="1" max="1" width="3.6328125" customWidth="1"/>
    <col min="2" max="2" width="30.453125" customWidth="1"/>
    <col min="3" max="3" width="9.08984375" style="214"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11" t="s">
        <v>2092</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2354277.8640000001</v>
      </c>
      <c r="G4" s="219">
        <f>E4*$C$4</f>
        <v>2413134.8106</v>
      </c>
      <c r="I4" s="219">
        <f>G4*$C$4</f>
        <v>2473463.1808649995</v>
      </c>
      <c r="K4" s="219">
        <f>I4*$C$4</f>
        <v>2535299.7603866244</v>
      </c>
      <c r="M4" s="219">
        <f>K4*$C$4</f>
        <v>2598682.2543962896</v>
      </c>
      <c r="O4" s="219">
        <f>M4*$C$4</f>
        <v>2663649.3107561967</v>
      </c>
      <c r="Q4" s="219">
        <f>O4*$C$4</f>
        <v>2730240.5435251016</v>
      </c>
      <c r="S4" s="219">
        <f>Q4*$C$4</f>
        <v>2798496.5571132288</v>
      </c>
      <c r="U4" s="219">
        <f>S4*$C$4</f>
        <v>2868458.9710410591</v>
      </c>
      <c r="W4" s="219">
        <f>U4*$C$4</f>
        <v>2940170.4453170854</v>
      </c>
      <c r="Y4" s="219">
        <f>W4*$C$4</f>
        <v>3013674.706450012</v>
      </c>
      <c r="AA4" s="219">
        <f>Y4*$C$4</f>
        <v>3089016.5741112619</v>
      </c>
      <c r="AC4" s="219">
        <f>AA4*$C$4</f>
        <v>3166241.988464043</v>
      </c>
      <c r="AE4" s="219">
        <f>AC4*$C$4</f>
        <v>3245398.0381756439</v>
      </c>
      <c r="AG4" s="219">
        <f>AE4*$C$4</f>
        <v>3326532.9891300346</v>
      </c>
    </row>
    <row r="5" spans="1:34" s="210" customFormat="1" ht="14">
      <c r="B5" s="210" t="s">
        <v>838</v>
      </c>
      <c r="C5" s="238">
        <f>IF(Application!$D$211="Special Needs",(((0.1*Application!$T$212)+(0.05*(1-Application!$T$212)))),0.05)</f>
        <v>0.05</v>
      </c>
      <c r="E5" s="221">
        <f>-E4*$C$5</f>
        <v>-117713.89320000001</v>
      </c>
      <c r="F5" s="221"/>
      <c r="G5" s="221">
        <f>-G4*$C$5</f>
        <v>-120656.74053000001</v>
      </c>
      <c r="H5" s="221"/>
      <c r="I5" s="221">
        <f>-I4*$C$5</f>
        <v>-123673.15904324998</v>
      </c>
      <c r="J5" s="221"/>
      <c r="K5" s="221">
        <f>-K4*$C$5</f>
        <v>-126764.98801933123</v>
      </c>
      <c r="L5" s="221"/>
      <c r="M5" s="221">
        <f>-M4*$C$5</f>
        <v>-129934.11271981448</v>
      </c>
      <c r="N5" s="221"/>
      <c r="O5" s="221">
        <f>-O4*$C$5</f>
        <v>-133182.46553780985</v>
      </c>
      <c r="P5" s="221"/>
      <c r="Q5" s="221">
        <f>-Q4*$C$5</f>
        <v>-136512.0271762551</v>
      </c>
      <c r="R5" s="221"/>
      <c r="S5" s="221">
        <f>-S4*$C$5</f>
        <v>-139924.82785566145</v>
      </c>
      <c r="T5" s="221"/>
      <c r="U5" s="221">
        <f>-U4*$C$5</f>
        <v>-143422.94855205296</v>
      </c>
      <c r="V5" s="221"/>
      <c r="W5" s="221">
        <f>-W4*$C$5</f>
        <v>-147008.52226585426</v>
      </c>
      <c r="X5" s="221"/>
      <c r="Y5" s="221">
        <f>-Y4*$C$5</f>
        <v>-150683.73532250061</v>
      </c>
      <c r="Z5" s="221"/>
      <c r="AA5" s="221">
        <f>-AA4*$C$5</f>
        <v>-154450.82870556309</v>
      </c>
      <c r="AB5" s="221"/>
      <c r="AC5" s="221">
        <f>-AC4*$C$5</f>
        <v>-158312.09942320216</v>
      </c>
      <c r="AD5" s="221"/>
      <c r="AE5" s="221">
        <f>-AE4*$C$5</f>
        <v>-162269.90190878219</v>
      </c>
      <c r="AF5" s="221"/>
      <c r="AG5" s="221">
        <f>-AG4*$C$5</f>
        <v>-166326.64945650173</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18816</v>
      </c>
      <c r="F8" s="222"/>
      <c r="G8" s="222">
        <f>E8*$C$8</f>
        <v>19286.399999999998</v>
      </c>
      <c r="H8" s="222"/>
      <c r="I8" s="222">
        <f>G8*$C$8</f>
        <v>19768.559999999998</v>
      </c>
      <c r="J8" s="222"/>
      <c r="K8" s="222">
        <f>I8*$C$8</f>
        <v>20262.773999999998</v>
      </c>
      <c r="L8" s="222"/>
      <c r="M8" s="222">
        <f>K8*$C$8</f>
        <v>20769.343349999996</v>
      </c>
      <c r="N8" s="222"/>
      <c r="O8" s="222">
        <f>M8*$C$8</f>
        <v>21288.576933749995</v>
      </c>
      <c r="P8" s="222"/>
      <c r="Q8" s="222">
        <f>O8*$C$8</f>
        <v>21820.791357093742</v>
      </c>
      <c r="R8" s="222"/>
      <c r="S8" s="222">
        <f>Q8*$C$8</f>
        <v>22366.311141021084</v>
      </c>
      <c r="T8" s="222"/>
      <c r="U8" s="222">
        <f>S8*$C$8</f>
        <v>22925.468919546609</v>
      </c>
      <c r="V8" s="222"/>
      <c r="W8" s="222">
        <f>U8*$C$8</f>
        <v>23498.605642535273</v>
      </c>
      <c r="X8" s="222"/>
      <c r="Y8" s="222">
        <f>W8*$C$8</f>
        <v>24086.070783598654</v>
      </c>
      <c r="Z8" s="222"/>
      <c r="AA8" s="222">
        <f>Y8*$C$8</f>
        <v>24688.222553188618</v>
      </c>
      <c r="AB8" s="222"/>
      <c r="AC8" s="222">
        <f>AA8*$C$8</f>
        <v>25305.428117018331</v>
      </c>
      <c r="AD8" s="222"/>
      <c r="AE8" s="222">
        <f>AC8*$C$8</f>
        <v>25938.063819943789</v>
      </c>
      <c r="AF8" s="222"/>
      <c r="AG8" s="222">
        <f>AE8*$C$8</f>
        <v>26586.51541544238</v>
      </c>
    </row>
    <row r="9" spans="1:34" s="210" customFormat="1" ht="14">
      <c r="B9" s="210" t="s">
        <v>838</v>
      </c>
      <c r="C9" s="238">
        <f>IF(Application!$D$211="Special Needs",(((0.1*Application!$T$212)+(0.05*(1-Application!$T$212)))),0.05)</f>
        <v>0.05</v>
      </c>
      <c r="E9" s="221">
        <f>-E8*$C$9</f>
        <v>-940.80000000000007</v>
      </c>
      <c r="F9" s="221"/>
      <c r="G9" s="221">
        <f>-G8*$C$9</f>
        <v>-964.31999999999994</v>
      </c>
      <c r="H9" s="221"/>
      <c r="I9" s="221">
        <f>-I8*$C$9</f>
        <v>-988.42799999999988</v>
      </c>
      <c r="J9" s="221"/>
      <c r="K9" s="221">
        <f>-K8*$C$9</f>
        <v>-1013.1387</v>
      </c>
      <c r="L9" s="221"/>
      <c r="M9" s="221">
        <f>-M8*$C$9</f>
        <v>-1038.4671674999997</v>
      </c>
      <c r="N9" s="221"/>
      <c r="O9" s="221">
        <f>-O8*$C$9</f>
        <v>-1064.4288466874998</v>
      </c>
      <c r="P9" s="221"/>
      <c r="Q9" s="221">
        <f>-Q8*$C$9</f>
        <v>-1091.0395678546872</v>
      </c>
      <c r="R9" s="221"/>
      <c r="S9" s="221">
        <f>-S8*$C$9</f>
        <v>-1118.3155570510542</v>
      </c>
      <c r="T9" s="221"/>
      <c r="U9" s="221">
        <f>-U8*$C$9</f>
        <v>-1146.2734459773305</v>
      </c>
      <c r="V9" s="221"/>
      <c r="W9" s="221">
        <f>-W8*$C$9</f>
        <v>-1174.9302821267636</v>
      </c>
      <c r="X9" s="221"/>
      <c r="Y9" s="221">
        <f>-Y8*$C$9</f>
        <v>-1204.3035391799328</v>
      </c>
      <c r="Z9" s="221"/>
      <c r="AA9" s="221">
        <f>-AA8*$C$9</f>
        <v>-1234.411127659431</v>
      </c>
      <c r="AB9" s="221"/>
      <c r="AC9" s="221">
        <f>-AC8*$C$9</f>
        <v>-1265.2714058509166</v>
      </c>
      <c r="AD9" s="221"/>
      <c r="AE9" s="221">
        <f>-AE8*$C$9</f>
        <v>-1296.9031909971895</v>
      </c>
      <c r="AF9" s="221"/>
      <c r="AG9" s="221">
        <f>-AG8*$C$9</f>
        <v>-1329.3257707721191</v>
      </c>
    </row>
    <row r="10" spans="1:34" s="210" customFormat="1" ht="14">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2254439.1708000004</v>
      </c>
      <c r="G11" s="223">
        <f>SUM(G4:G10)</f>
        <v>2310800.15007</v>
      </c>
      <c r="I11" s="223">
        <f>SUM(I4:I10)</f>
        <v>2368570.1538217496</v>
      </c>
      <c r="K11" s="223">
        <f>SUM(K4:K10)</f>
        <v>2427784.4076672932</v>
      </c>
      <c r="M11" s="223">
        <f>SUM(M4:M10)</f>
        <v>2488479.0178589756</v>
      </c>
      <c r="O11" s="223">
        <f>SUM(O4:O10)</f>
        <v>2550690.9933054494</v>
      </c>
      <c r="Q11" s="223">
        <f>SUM(Q4:Q10)</f>
        <v>2614458.268138086</v>
      </c>
      <c r="S11" s="223">
        <f>SUM(S4:S10)</f>
        <v>2679819.7248415374</v>
      </c>
      <c r="U11" s="223">
        <f>SUM(U4:U10)</f>
        <v>2746815.2179625756</v>
      </c>
      <c r="W11" s="223">
        <f>SUM(W4:W10)</f>
        <v>2815485.5984116397</v>
      </c>
      <c r="Y11" s="223">
        <f>SUM(Y4:Y10)</f>
        <v>2885872.7383719306</v>
      </c>
      <c r="AA11" s="223">
        <f>SUM(AA4:AA10)</f>
        <v>2958019.5568312276</v>
      </c>
      <c r="AC11" s="223">
        <f>SUM(AC4:AC10)</f>
        <v>3031970.045752008</v>
      </c>
      <c r="AE11" s="223">
        <f>SUM(AE4:AE10)</f>
        <v>3107769.2968958085</v>
      </c>
      <c r="AG11" s="223">
        <f>SUM(AG4:AG10)</f>
        <v>3185463.5293182028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51100</v>
      </c>
      <c r="G15" s="219">
        <f>E15*$C$14</f>
        <v>52888.499999999993</v>
      </c>
      <c r="I15" s="219">
        <f>G15*$C$14</f>
        <v>54739.597499999989</v>
      </c>
      <c r="K15" s="219">
        <f>I15*$C$14</f>
        <v>56655.483412499983</v>
      </c>
      <c r="M15" s="219">
        <f>K15*$C$14</f>
        <v>58638.425331937477</v>
      </c>
      <c r="O15" s="219">
        <f>M15*$C$14</f>
        <v>60690.770218555284</v>
      </c>
      <c r="Q15" s="219">
        <f>O15*$C$14</f>
        <v>62814.947176204718</v>
      </c>
      <c r="S15" s="219">
        <f>Q15*$C$14</f>
        <v>65013.470327371877</v>
      </c>
      <c r="U15" s="219">
        <f>S15*$C$14</f>
        <v>67288.941788829892</v>
      </c>
      <c r="W15" s="219">
        <f>U15*$C$14</f>
        <v>69644.054751438933</v>
      </c>
      <c r="Y15" s="219">
        <f>W15*$C$14</f>
        <v>72081.596667739286</v>
      </c>
      <c r="AA15" s="219">
        <f>Y15*$C$14</f>
        <v>74604.452551110153</v>
      </c>
      <c r="AC15" s="219">
        <f>AA15*$C$14</f>
        <v>77215.608390399007</v>
      </c>
      <c r="AE15" s="219">
        <f>AC15*$C$14</f>
        <v>79918.15468406296</v>
      </c>
      <c r="AG15" s="219">
        <f>AE15*$C$14</f>
        <v>82715.290098005164</v>
      </c>
    </row>
    <row r="16" spans="1:34" s="210" customFormat="1" ht="14">
      <c r="A16" s="210" t="s">
        <v>344</v>
      </c>
      <c r="C16" s="233"/>
      <c r="E16" s="222">
        <f>Application!W849</f>
        <v>95000</v>
      </c>
      <c r="F16" s="222"/>
      <c r="G16" s="222">
        <f t="shared" ref="G16:AG21" si="0">E16*$C$14</f>
        <v>98324.999999999985</v>
      </c>
      <c r="H16" s="222"/>
      <c r="I16" s="222">
        <f t="shared" si="0"/>
        <v>101766.37499999997</v>
      </c>
      <c r="J16" s="222"/>
      <c r="K16" s="222">
        <f t="shared" si="0"/>
        <v>105328.19812499997</v>
      </c>
      <c r="L16" s="222"/>
      <c r="M16" s="222">
        <f t="shared" si="0"/>
        <v>109014.68505937496</v>
      </c>
      <c r="N16" s="222"/>
      <c r="O16" s="222">
        <f t="shared" si="0"/>
        <v>112830.19903645306</v>
      </c>
      <c r="P16" s="222"/>
      <c r="Q16" s="222">
        <f t="shared" si="0"/>
        <v>116779.25600272891</v>
      </c>
      <c r="R16" s="222"/>
      <c r="S16" s="222">
        <f t="shared" si="0"/>
        <v>120866.52996282441</v>
      </c>
      <c r="T16" s="222"/>
      <c r="U16" s="222">
        <f t="shared" si="0"/>
        <v>125096.85851152326</v>
      </c>
      <c r="V16" s="222"/>
      <c r="W16" s="222">
        <f t="shared" si="0"/>
        <v>129475.24855942656</v>
      </c>
      <c r="X16" s="222"/>
      <c r="Y16" s="222">
        <f t="shared" si="0"/>
        <v>134006.88225900647</v>
      </c>
      <c r="Z16" s="222"/>
      <c r="AA16" s="222">
        <f t="shared" si="0"/>
        <v>138697.12313807168</v>
      </c>
      <c r="AB16" s="222"/>
      <c r="AC16" s="222">
        <f t="shared" si="0"/>
        <v>143551.52244790416</v>
      </c>
      <c r="AD16" s="222"/>
      <c r="AE16" s="222">
        <f t="shared" si="0"/>
        <v>148575.8257335808</v>
      </c>
      <c r="AF16" s="222"/>
      <c r="AG16" s="222">
        <f t="shared" si="0"/>
        <v>153775.97963425613</v>
      </c>
    </row>
    <row r="17" spans="1:33" s="210" customFormat="1" ht="14">
      <c r="A17" s="210" t="s">
        <v>561</v>
      </c>
      <c r="C17" s="233"/>
      <c r="E17" s="222">
        <f>Application!W855</f>
        <v>238000</v>
      </c>
      <c r="F17" s="222"/>
      <c r="G17" s="222">
        <f t="shared" si="0"/>
        <v>246329.99999999997</v>
      </c>
      <c r="H17" s="222"/>
      <c r="I17" s="222">
        <f t="shared" si="0"/>
        <v>254951.54999999996</v>
      </c>
      <c r="J17" s="222"/>
      <c r="K17" s="222">
        <f t="shared" si="0"/>
        <v>263874.85424999992</v>
      </c>
      <c r="L17" s="222"/>
      <c r="M17" s="222">
        <f t="shared" si="0"/>
        <v>273110.4741487499</v>
      </c>
      <c r="N17" s="222"/>
      <c r="O17" s="222">
        <f t="shared" si="0"/>
        <v>282669.3407439561</v>
      </c>
      <c r="P17" s="222"/>
      <c r="Q17" s="222">
        <f t="shared" si="0"/>
        <v>292562.76766999456</v>
      </c>
      <c r="R17" s="222"/>
      <c r="S17" s="222">
        <f t="shared" si="0"/>
        <v>302802.46453844436</v>
      </c>
      <c r="T17" s="222"/>
      <c r="U17" s="222">
        <f t="shared" si="0"/>
        <v>313400.55079728988</v>
      </c>
      <c r="V17" s="222"/>
      <c r="W17" s="222">
        <f t="shared" si="0"/>
        <v>324369.57007519499</v>
      </c>
      <c r="X17" s="222"/>
      <c r="Y17" s="222">
        <f t="shared" si="0"/>
        <v>335722.50502782682</v>
      </c>
      <c r="Z17" s="222"/>
      <c r="AA17" s="222">
        <f t="shared" si="0"/>
        <v>347472.79270380072</v>
      </c>
      <c r="AB17" s="222"/>
      <c r="AC17" s="222">
        <f t="shared" si="0"/>
        <v>359634.34044843371</v>
      </c>
      <c r="AD17" s="222"/>
      <c r="AE17" s="222">
        <f t="shared" si="0"/>
        <v>372221.54236412887</v>
      </c>
      <c r="AF17" s="222"/>
      <c r="AG17" s="222">
        <f t="shared" si="0"/>
        <v>385249.29634687334</v>
      </c>
    </row>
    <row r="18" spans="1:33" s="210" customFormat="1" ht="14">
      <c r="A18" s="210" t="s">
        <v>842</v>
      </c>
      <c r="C18" s="233"/>
      <c r="E18" s="222">
        <f>Application!W862</f>
        <v>130000</v>
      </c>
      <c r="F18" s="222"/>
      <c r="G18" s="222">
        <f t="shared" si="0"/>
        <v>134550</v>
      </c>
      <c r="H18" s="222"/>
      <c r="I18" s="222">
        <f t="shared" si="0"/>
        <v>139259.25</v>
      </c>
      <c r="J18" s="222"/>
      <c r="K18" s="222">
        <f t="shared" si="0"/>
        <v>144133.32374999998</v>
      </c>
      <c r="L18" s="222"/>
      <c r="M18" s="222">
        <f t="shared" si="0"/>
        <v>149177.99008124997</v>
      </c>
      <c r="N18" s="222"/>
      <c r="O18" s="222">
        <f t="shared" si="0"/>
        <v>154399.2197340937</v>
      </c>
      <c r="P18" s="222"/>
      <c r="Q18" s="222">
        <f t="shared" si="0"/>
        <v>159803.19242478698</v>
      </c>
      <c r="R18" s="222"/>
      <c r="S18" s="222">
        <f t="shared" si="0"/>
        <v>165396.30415965451</v>
      </c>
      <c r="T18" s="222"/>
      <c r="U18" s="222">
        <f t="shared" si="0"/>
        <v>171185.17480524239</v>
      </c>
      <c r="V18" s="222"/>
      <c r="W18" s="222">
        <f t="shared" si="0"/>
        <v>177176.65592342586</v>
      </c>
      <c r="X18" s="222"/>
      <c r="Y18" s="222">
        <f t="shared" si="0"/>
        <v>183377.83888074575</v>
      </c>
      <c r="Z18" s="222"/>
      <c r="AA18" s="222">
        <f t="shared" si="0"/>
        <v>189796.06324157183</v>
      </c>
      <c r="AB18" s="222"/>
      <c r="AC18" s="222">
        <f t="shared" si="0"/>
        <v>196438.92545502682</v>
      </c>
      <c r="AD18" s="222"/>
      <c r="AE18" s="222">
        <f t="shared" si="0"/>
        <v>203314.28784595276</v>
      </c>
      <c r="AF18" s="222"/>
      <c r="AG18" s="222">
        <f t="shared" si="0"/>
        <v>210430.2879205611</v>
      </c>
    </row>
    <row r="19" spans="1:33" s="210" customFormat="1" ht="14">
      <c r="A19" s="210" t="s">
        <v>155</v>
      </c>
      <c r="C19" s="233"/>
      <c r="E19" s="222">
        <f>Application!W863</f>
        <v>64800</v>
      </c>
      <c r="F19" s="222"/>
      <c r="G19" s="222">
        <f t="shared" si="0"/>
        <v>67068</v>
      </c>
      <c r="H19" s="222"/>
      <c r="I19" s="222">
        <f t="shared" si="0"/>
        <v>69415.37999999999</v>
      </c>
      <c r="J19" s="222"/>
      <c r="K19" s="222">
        <f t="shared" si="0"/>
        <v>71844.91829999999</v>
      </c>
      <c r="L19" s="222"/>
      <c r="M19" s="222">
        <f t="shared" si="0"/>
        <v>74359.490440499983</v>
      </c>
      <c r="N19" s="222"/>
      <c r="O19" s="222">
        <f t="shared" si="0"/>
        <v>76962.072605917478</v>
      </c>
      <c r="P19" s="222"/>
      <c r="Q19" s="222">
        <f t="shared" si="0"/>
        <v>79655.745147124588</v>
      </c>
      <c r="R19" s="222"/>
      <c r="S19" s="222">
        <f t="shared" si="0"/>
        <v>82443.696227273947</v>
      </c>
      <c r="T19" s="222"/>
      <c r="U19" s="222">
        <f t="shared" si="0"/>
        <v>85329.225595228534</v>
      </c>
      <c r="V19" s="222"/>
      <c r="W19" s="222">
        <f t="shared" si="0"/>
        <v>88315.748491061531</v>
      </c>
      <c r="X19" s="222"/>
      <c r="Y19" s="222">
        <f t="shared" si="0"/>
        <v>91406.799688248677</v>
      </c>
      <c r="Z19" s="222"/>
      <c r="AA19" s="222">
        <f t="shared" si="0"/>
        <v>94606.037677337372</v>
      </c>
      <c r="AB19" s="222"/>
      <c r="AC19" s="222">
        <f t="shared" si="0"/>
        <v>97917.248996044174</v>
      </c>
      <c r="AD19" s="222"/>
      <c r="AE19" s="222">
        <f t="shared" si="0"/>
        <v>101344.35271090572</v>
      </c>
      <c r="AF19" s="222"/>
      <c r="AG19" s="222">
        <f t="shared" si="0"/>
        <v>104891.40505578741</v>
      </c>
    </row>
    <row r="20" spans="1:33" s="210" customFormat="1" ht="14">
      <c r="A20" s="210" t="s">
        <v>390</v>
      </c>
      <c r="C20" s="233"/>
      <c r="E20" s="222">
        <f>Application!W872</f>
        <v>190400</v>
      </c>
      <c r="F20" s="222"/>
      <c r="G20" s="222">
        <f t="shared" si="0"/>
        <v>197063.99999999997</v>
      </c>
      <c r="H20" s="222"/>
      <c r="I20" s="222">
        <f t="shared" si="0"/>
        <v>203961.23999999996</v>
      </c>
      <c r="J20" s="222"/>
      <c r="K20" s="222">
        <f t="shared" si="0"/>
        <v>211099.88339999993</v>
      </c>
      <c r="L20" s="222"/>
      <c r="M20" s="222">
        <f t="shared" si="0"/>
        <v>218488.37931899991</v>
      </c>
      <c r="N20" s="222"/>
      <c r="O20" s="222">
        <f t="shared" si="0"/>
        <v>226135.4725951649</v>
      </c>
      <c r="P20" s="222"/>
      <c r="Q20" s="222">
        <f t="shared" si="0"/>
        <v>234050.21413599566</v>
      </c>
      <c r="R20" s="222"/>
      <c r="S20" s="222">
        <f t="shared" si="0"/>
        <v>242241.97163075549</v>
      </c>
      <c r="T20" s="222"/>
      <c r="U20" s="222">
        <f t="shared" si="0"/>
        <v>250720.44063783193</v>
      </c>
      <c r="V20" s="222"/>
      <c r="W20" s="222">
        <f t="shared" si="0"/>
        <v>259495.65606015603</v>
      </c>
      <c r="X20" s="222"/>
      <c r="Y20" s="222">
        <f t="shared" si="0"/>
        <v>268578.00402226148</v>
      </c>
      <c r="Z20" s="222"/>
      <c r="AA20" s="222">
        <f t="shared" si="0"/>
        <v>277978.23416304059</v>
      </c>
      <c r="AB20" s="222"/>
      <c r="AC20" s="222">
        <f t="shared" si="0"/>
        <v>287707.47235874698</v>
      </c>
      <c r="AD20" s="222"/>
      <c r="AE20" s="222">
        <f t="shared" si="0"/>
        <v>297777.23389130313</v>
      </c>
      <c r="AF20" s="222"/>
      <c r="AG20" s="222">
        <f t="shared" si="0"/>
        <v>308199.4370774987</v>
      </c>
    </row>
    <row r="21" spans="1:33" s="210" customFormat="1" ht="14">
      <c r="A21" s="226" t="s">
        <v>2734</v>
      </c>
      <c r="B21" s="226"/>
      <c r="C21" s="233"/>
      <c r="E21" s="232">
        <f>Application!W879</f>
        <v>14700</v>
      </c>
      <c r="F21" s="222"/>
      <c r="G21" s="232">
        <f t="shared" si="0"/>
        <v>15214.499999999998</v>
      </c>
      <c r="H21" s="222"/>
      <c r="I21" s="232">
        <f t="shared" si="0"/>
        <v>15747.007499999996</v>
      </c>
      <c r="J21" s="222"/>
      <c r="K21" s="232">
        <f t="shared" si="0"/>
        <v>16298.152762499994</v>
      </c>
      <c r="L21" s="222"/>
      <c r="M21" s="232">
        <f t="shared" si="0"/>
        <v>16868.588109187494</v>
      </c>
      <c r="N21" s="222"/>
      <c r="O21" s="232">
        <f t="shared" si="0"/>
        <v>17458.988693009054</v>
      </c>
      <c r="P21" s="222"/>
      <c r="Q21" s="232">
        <f t="shared" si="0"/>
        <v>18070.05329726437</v>
      </c>
      <c r="R21" s="222"/>
      <c r="S21" s="232">
        <f t="shared" si="0"/>
        <v>18702.505162668622</v>
      </c>
      <c r="T21" s="222"/>
      <c r="U21" s="232">
        <f t="shared" si="0"/>
        <v>19357.092843362021</v>
      </c>
      <c r="V21" s="222"/>
      <c r="W21" s="232">
        <f t="shared" si="0"/>
        <v>20034.591092879691</v>
      </c>
      <c r="X21" s="222"/>
      <c r="Y21" s="232">
        <f t="shared" si="0"/>
        <v>20735.801781130478</v>
      </c>
      <c r="Z21" s="222"/>
      <c r="AA21" s="232">
        <f t="shared" si="0"/>
        <v>21461.554843470043</v>
      </c>
      <c r="AB21" s="222"/>
      <c r="AC21" s="232">
        <f t="shared" si="0"/>
        <v>22212.709262991491</v>
      </c>
      <c r="AD21" s="222"/>
      <c r="AE21" s="232">
        <f t="shared" si="0"/>
        <v>22990.154087196192</v>
      </c>
      <c r="AF21" s="222"/>
      <c r="AG21" s="232">
        <f t="shared" si="0"/>
        <v>23794.809480248055</v>
      </c>
    </row>
    <row r="22" spans="1:33" s="223" customFormat="1" ht="14">
      <c r="A22" s="223" t="s">
        <v>843</v>
      </c>
      <c r="C22" s="233"/>
      <c r="E22" s="223">
        <f>SUM(E15:E21)</f>
        <v>784000</v>
      </c>
      <c r="G22" s="223">
        <f>SUM(G15:G21)</f>
        <v>811440</v>
      </c>
      <c r="I22" s="223">
        <f>SUM(I15:I21)</f>
        <v>839840.39999999991</v>
      </c>
      <c r="K22" s="223">
        <f>SUM(K15:K21)</f>
        <v>869234.81399999978</v>
      </c>
      <c r="M22" s="223">
        <f>SUM(M15:M21)</f>
        <v>899658.03248999978</v>
      </c>
      <c r="O22" s="223">
        <f>SUM(O15:O21)</f>
        <v>931146.06362714944</v>
      </c>
      <c r="Q22" s="223">
        <f>SUM(Q15:Q21)</f>
        <v>963736.1758540998</v>
      </c>
      <c r="S22" s="223">
        <f>SUM(S15:S21)</f>
        <v>997466.94200899312</v>
      </c>
      <c r="U22" s="223">
        <f>SUM(U15:U21)</f>
        <v>1032378.2849793079</v>
      </c>
      <c r="W22" s="223">
        <f>SUM(W15:W21)</f>
        <v>1068511.5249535835</v>
      </c>
      <c r="Y22" s="223">
        <f>SUM(Y15:Y21)</f>
        <v>1105909.4283269588</v>
      </c>
      <c r="AA22" s="223">
        <f>SUM(AA15:AA21)</f>
        <v>1144616.2583184023</v>
      </c>
      <c r="AC22" s="223">
        <f>SUM(AC15:AC21)</f>
        <v>1184677.8273595464</v>
      </c>
      <c r="AE22" s="223">
        <f>SUM(AE15:AE21)</f>
        <v>1226141.5513171304</v>
      </c>
      <c r="AG22" s="223">
        <f>SUM(AG15:AG21)</f>
        <v>1269056.5056132299</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1680</v>
      </c>
      <c r="C24" s="1260">
        <v>1.0349999999999999</v>
      </c>
      <c r="E24" s="910">
        <v>451500</v>
      </c>
      <c r="F24" s="222"/>
      <c r="G24" s="222">
        <f>E24*$C$24</f>
        <v>467302.49999999994</v>
      </c>
      <c r="H24" s="222"/>
      <c r="I24" s="222">
        <f>G24*$C$24</f>
        <v>483658.08749999991</v>
      </c>
      <c r="J24" s="222"/>
      <c r="K24" s="222">
        <f>I24*$C$24</f>
        <v>500586.12056249985</v>
      </c>
      <c r="L24" s="222"/>
      <c r="M24" s="222">
        <f>K24*$C$24</f>
        <v>518106.63478218729</v>
      </c>
      <c r="N24" s="222"/>
      <c r="O24" s="222">
        <f>M24*$C$24</f>
        <v>536240.36699956376</v>
      </c>
      <c r="P24" s="222"/>
      <c r="Q24" s="222">
        <f>O24*$C$24</f>
        <v>555008.77984454844</v>
      </c>
      <c r="R24" s="222"/>
      <c r="S24" s="222">
        <f>Q24*$C$24</f>
        <v>574434.08713910764</v>
      </c>
      <c r="T24" s="222"/>
      <c r="U24" s="222">
        <f>S24*$C$24</f>
        <v>594539.28018897632</v>
      </c>
      <c r="V24" s="222"/>
      <c r="W24" s="222">
        <f>U24*$C$24</f>
        <v>615348.15499559045</v>
      </c>
      <c r="X24" s="222"/>
      <c r="Y24" s="222">
        <f>W24*$C$24</f>
        <v>636885.34042043611</v>
      </c>
      <c r="Z24" s="222"/>
      <c r="AA24" s="222">
        <f>Y24*$C$24</f>
        <v>659176.32733515138</v>
      </c>
      <c r="AB24" s="222"/>
      <c r="AC24" s="222">
        <f>AA24*$C$24</f>
        <v>682247.4987918816</v>
      </c>
      <c r="AD24" s="222"/>
      <c r="AE24" s="222">
        <f>AC24*$C$24</f>
        <v>706126.16124959744</v>
      </c>
      <c r="AF24" s="222"/>
      <c r="AG24" s="222">
        <f>AE24*$C$24</f>
        <v>730840.57689333335</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24500</v>
      </c>
      <c r="F27" s="222"/>
      <c r="G27" s="222">
        <f>E27*$C$27</f>
        <v>25357.499999999996</v>
      </c>
      <c r="H27" s="222"/>
      <c r="I27" s="222">
        <f>G27*$C$27</f>
        <v>26245.012499999993</v>
      </c>
      <c r="J27" s="222"/>
      <c r="K27" s="222">
        <f>I27*$C$27</f>
        <v>27163.587937499989</v>
      </c>
      <c r="L27" s="222"/>
      <c r="M27" s="222">
        <f>K27*$C$27</f>
        <v>28114.313515312486</v>
      </c>
      <c r="N27" s="222"/>
      <c r="O27" s="222">
        <f>M27*$C$27</f>
        <v>29098.31448834842</v>
      </c>
      <c r="P27" s="222"/>
      <c r="Q27" s="222">
        <f>O27*$C$27</f>
        <v>30116.755495440611</v>
      </c>
      <c r="R27" s="222"/>
      <c r="S27" s="222">
        <f>Q27*$C$27</f>
        <v>31170.841937781031</v>
      </c>
      <c r="T27" s="222"/>
      <c r="U27" s="222">
        <f>S27*$C$27</f>
        <v>32261.821405603365</v>
      </c>
      <c r="V27" s="222"/>
      <c r="W27" s="222">
        <f>U27*$C$27</f>
        <v>33390.985154799477</v>
      </c>
      <c r="X27" s="222"/>
      <c r="Y27" s="222">
        <f>W27*$C$27</f>
        <v>34559.669635217455</v>
      </c>
      <c r="Z27" s="222"/>
      <c r="AA27" s="222">
        <f>Y27*$C$27</f>
        <v>35769.258072450066</v>
      </c>
      <c r="AB27" s="222"/>
      <c r="AC27" s="222">
        <f>AA27*$C$27</f>
        <v>37021.182104985812</v>
      </c>
      <c r="AD27" s="222"/>
      <c r="AE27" s="222">
        <f>AC27*$C$27</f>
        <v>38316.923478660312</v>
      </c>
      <c r="AF27" s="222"/>
      <c r="AG27" s="222">
        <f>AE27*$C$27</f>
        <v>39658.015800413421</v>
      </c>
    </row>
    <row r="28" spans="1:33" s="210" customFormat="1" ht="14">
      <c r="A28" s="210" t="s">
        <v>846</v>
      </c>
      <c r="C28" s="237"/>
      <c r="E28" s="222">
        <f>Application!AC889</f>
        <v>24500</v>
      </c>
      <c r="F28" s="222"/>
      <c r="G28" s="222">
        <f>$E$28</f>
        <v>24500</v>
      </c>
      <c r="H28" s="222"/>
      <c r="I28" s="222">
        <f>$E$28</f>
        <v>24500</v>
      </c>
      <c r="J28" s="222"/>
      <c r="K28" s="222">
        <f>$E$28</f>
        <v>24500</v>
      </c>
      <c r="L28" s="222"/>
      <c r="M28" s="222">
        <f>$E$28</f>
        <v>24500</v>
      </c>
      <c r="N28" s="222"/>
      <c r="O28" s="222">
        <f>$E$28</f>
        <v>24500</v>
      </c>
      <c r="P28" s="222"/>
      <c r="Q28" s="222">
        <f>$E$28</f>
        <v>24500</v>
      </c>
      <c r="R28" s="222"/>
      <c r="S28" s="222">
        <f>$E$28</f>
        <v>24500</v>
      </c>
      <c r="T28" s="222"/>
      <c r="U28" s="222">
        <f>$E$28</f>
        <v>24500</v>
      </c>
      <c r="V28" s="222"/>
      <c r="W28" s="222">
        <f>$E$28</f>
        <v>24500</v>
      </c>
      <c r="X28" s="222"/>
      <c r="Y28" s="222">
        <f>$E$28</f>
        <v>24500</v>
      </c>
      <c r="Z28" s="222"/>
      <c r="AA28" s="222">
        <f>$E$28</f>
        <v>24500</v>
      </c>
      <c r="AB28" s="222"/>
      <c r="AC28" s="222">
        <f>$E$28</f>
        <v>24500</v>
      </c>
      <c r="AD28" s="222"/>
      <c r="AE28" s="222">
        <f>$E$28</f>
        <v>24500</v>
      </c>
      <c r="AF28" s="222"/>
      <c r="AG28" s="222">
        <f>$E$28</f>
        <v>24500</v>
      </c>
    </row>
    <row r="29" spans="1:33" s="210" customFormat="1" ht="14">
      <c r="A29" s="210" t="s">
        <v>2752</v>
      </c>
      <c r="C29" s="237"/>
      <c r="E29" s="222">
        <f>Application!AC890</f>
        <v>15435</v>
      </c>
      <c r="F29" s="222"/>
      <c r="G29" s="222">
        <f>$E$29</f>
        <v>15435</v>
      </c>
      <c r="H29" s="222"/>
      <c r="I29" s="222">
        <f>$E$29</f>
        <v>15435</v>
      </c>
      <c r="J29" s="222"/>
      <c r="K29" s="222">
        <f>$E$29</f>
        <v>15435</v>
      </c>
      <c r="L29" s="222"/>
      <c r="M29" s="222">
        <f>$E$29</f>
        <v>15435</v>
      </c>
      <c r="N29" s="222"/>
      <c r="O29" s="222">
        <f>$E$29</f>
        <v>15435</v>
      </c>
      <c r="P29" s="222"/>
      <c r="Q29" s="222">
        <f>$E$29</f>
        <v>15435</v>
      </c>
      <c r="R29" s="222"/>
      <c r="S29" s="222">
        <f>$E$29</f>
        <v>15435</v>
      </c>
      <c r="T29" s="222"/>
      <c r="U29" s="222">
        <f>$E$29</f>
        <v>15435</v>
      </c>
      <c r="V29" s="222"/>
      <c r="W29" s="222">
        <f>$E$29</f>
        <v>15435</v>
      </c>
      <c r="X29" s="222"/>
      <c r="Y29" s="222">
        <f>$E$29</f>
        <v>15435</v>
      </c>
      <c r="Z29" s="222"/>
      <c r="AA29" s="222">
        <f>$E$29</f>
        <v>15435</v>
      </c>
      <c r="AB29" s="222"/>
      <c r="AC29" s="222">
        <f>$E$29</f>
        <v>15435</v>
      </c>
      <c r="AD29" s="222"/>
      <c r="AE29" s="222">
        <f>$E$29</f>
        <v>15435</v>
      </c>
      <c r="AF29" s="222"/>
      <c r="AG29" s="222">
        <f>$E$29</f>
        <v>15435</v>
      </c>
    </row>
    <row r="30" spans="1:33" s="210" customFormat="1" ht="14">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1679</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1299935</v>
      </c>
      <c r="G35" s="223">
        <f>SUM(G22:G33)</f>
        <v>1344035</v>
      </c>
      <c r="I35" s="223">
        <f>SUM(I22:I33)</f>
        <v>1389678.4999999998</v>
      </c>
      <c r="K35" s="223">
        <f>SUM(K22:K33)</f>
        <v>1436919.5224999997</v>
      </c>
      <c r="M35" s="223">
        <f>SUM(M22:M33)</f>
        <v>1485813.9807874996</v>
      </c>
      <c r="O35" s="223">
        <f>SUM(O22:O33)</f>
        <v>1536419.7451150615</v>
      </c>
      <c r="Q35" s="223">
        <f>SUM(Q22:Q33)</f>
        <v>1588796.7111940889</v>
      </c>
      <c r="S35" s="223">
        <f>SUM(S22:S33)</f>
        <v>1643006.871085882</v>
      </c>
      <c r="U35" s="223">
        <f>SUM(U22:U33)</f>
        <v>1699114.3865738877</v>
      </c>
      <c r="W35" s="223">
        <f>SUM(W22:W33)</f>
        <v>1757185.6651039734</v>
      </c>
      <c r="Y35" s="223">
        <f>SUM(Y22:Y33)</f>
        <v>1817289.4383826123</v>
      </c>
      <c r="AA35" s="223">
        <f>SUM(AA22:AA33)</f>
        <v>1879496.8437260038</v>
      </c>
      <c r="AC35" s="223">
        <f>SUM(AC22:AC33)</f>
        <v>1943881.508256414</v>
      </c>
      <c r="AE35" s="223">
        <f>SUM(AE22:AE33)</f>
        <v>2010519.6360453882</v>
      </c>
      <c r="AG35" s="223">
        <f>SUM(AG22:AG33)</f>
        <v>2079490.0983069767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954504.17080000043</v>
      </c>
      <c r="G37" s="223">
        <f>G11-G35</f>
        <v>966765.15006999997</v>
      </c>
      <c r="I37" s="223">
        <f>I11-I35</f>
        <v>978891.65382174985</v>
      </c>
      <c r="K37" s="223">
        <f>K11-K35</f>
        <v>990864.88516729348</v>
      </c>
      <c r="M37" s="223">
        <f>M11-M35</f>
        <v>1002665.037071476</v>
      </c>
      <c r="O37" s="223">
        <f>O11-O35</f>
        <v>1014271.2481903879</v>
      </c>
      <c r="Q37" s="223">
        <f>Q11-Q35</f>
        <v>1025661.556943997</v>
      </c>
      <c r="S37" s="223">
        <f>S11-S35</f>
        <v>1036812.8537556555</v>
      </c>
      <c r="U37" s="223">
        <f>U11-U35</f>
        <v>1047700.8313886879</v>
      </c>
      <c r="W37" s="223">
        <f>W11-W35</f>
        <v>1058299.9333076663</v>
      </c>
      <c r="Y37" s="223">
        <f>Y11-Y35</f>
        <v>1068583.2999893182</v>
      </c>
      <c r="AA37" s="223">
        <f>AA11-AA35</f>
        <v>1078522.7131052238</v>
      </c>
      <c r="AC37" s="223">
        <f>AC11-AC35</f>
        <v>1088088.537495594</v>
      </c>
      <c r="AE37" s="223">
        <f>AE11-AE35</f>
        <v>1097249.6608504204</v>
      </c>
      <c r="AG37" s="223">
        <f>AG11-AG35</f>
        <v>1105973.431011226</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Permanent Loan</v>
      </c>
      <c r="B40" s="226"/>
      <c r="C40" s="220"/>
      <c r="E40" s="222">
        <f>Application!AF627</f>
        <v>827990.30500000005</v>
      </c>
      <c r="F40" s="222"/>
      <c r="G40" s="222">
        <f>$E$40</f>
        <v>827990.30500000005</v>
      </c>
      <c r="H40" s="222"/>
      <c r="I40" s="222">
        <f>$E$40</f>
        <v>827990.30500000005</v>
      </c>
      <c r="J40" s="222"/>
      <c r="K40" s="222">
        <f>$E$40</f>
        <v>827990.30500000005</v>
      </c>
      <c r="L40" s="222"/>
      <c r="M40" s="222">
        <f>$E$40</f>
        <v>827990.30500000005</v>
      </c>
      <c r="N40" s="222"/>
      <c r="O40" s="222">
        <f>$E$40</f>
        <v>827990.30500000005</v>
      </c>
      <c r="P40" s="222"/>
      <c r="Q40" s="222">
        <f>$E$40</f>
        <v>827990.30500000005</v>
      </c>
      <c r="R40" s="222"/>
      <c r="S40" s="222">
        <f>$E$40</f>
        <v>827990.30500000005</v>
      </c>
      <c r="T40" s="222"/>
      <c r="U40" s="222">
        <f>$E$40</f>
        <v>827990.30500000005</v>
      </c>
      <c r="V40" s="222"/>
      <c r="W40" s="222">
        <f>$E$40</f>
        <v>827990.30500000005</v>
      </c>
      <c r="X40" s="222"/>
      <c r="Y40" s="222">
        <f>$E$40</f>
        <v>827990.30500000005</v>
      </c>
      <c r="Z40" s="222"/>
      <c r="AA40" s="222">
        <f>$E$40</f>
        <v>827990.30500000005</v>
      </c>
      <c r="AB40" s="222"/>
      <c r="AC40" s="222">
        <f>$E$40</f>
        <v>827990.30500000005</v>
      </c>
      <c r="AD40" s="222"/>
      <c r="AE40" s="222">
        <f>$E$40</f>
        <v>827990.30500000005</v>
      </c>
      <c r="AF40" s="222"/>
      <c r="AG40" s="222">
        <f>$E$40</f>
        <v>827990.30500000005</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827990.30500000005</v>
      </c>
      <c r="G43" s="223">
        <f>SUM(G40:G42)</f>
        <v>827990.30500000005</v>
      </c>
      <c r="I43" s="223">
        <f>SUM(I40:I42)</f>
        <v>827990.30500000005</v>
      </c>
      <c r="K43" s="223">
        <f>SUM(K40:K42)</f>
        <v>827990.30500000005</v>
      </c>
      <c r="M43" s="223">
        <f>SUM(M40:M42)</f>
        <v>827990.30500000005</v>
      </c>
      <c r="O43" s="223">
        <f>SUM(O40:O42)</f>
        <v>827990.30500000005</v>
      </c>
      <c r="Q43" s="223">
        <f>SUM(Q40:Q42)</f>
        <v>827990.30500000005</v>
      </c>
      <c r="S43" s="223">
        <f>SUM(S40:S42)</f>
        <v>827990.30500000005</v>
      </c>
      <c r="U43" s="223">
        <f>SUM(U40:U42)</f>
        <v>827990.30500000005</v>
      </c>
      <c r="W43" s="223">
        <f>SUM(W40:W42)</f>
        <v>827990.30500000005</v>
      </c>
      <c r="Y43" s="223">
        <f>SUM(Y40:Y42)</f>
        <v>827990.30500000005</v>
      </c>
      <c r="AA43" s="223">
        <f>SUM(AA40:AA42)</f>
        <v>827990.30500000005</v>
      </c>
      <c r="AC43" s="223">
        <f>SUM(AC40:AC42)</f>
        <v>827990.30500000005</v>
      </c>
      <c r="AE43" s="223">
        <f>SUM(AE40:AE42)</f>
        <v>827990.30500000005</v>
      </c>
      <c r="AG43" s="223">
        <f>SUM(AG40:AG42)</f>
        <v>827990.30500000005</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126513.86580000038</v>
      </c>
      <c r="G45" s="223">
        <f>G37-G43</f>
        <v>138774.84506999992</v>
      </c>
      <c r="I45" s="223">
        <f>I37-I43</f>
        <v>150901.34882174979</v>
      </c>
      <c r="K45" s="223">
        <f>K37-K43</f>
        <v>162874.58016729343</v>
      </c>
      <c r="M45" s="223">
        <f>M37-M43</f>
        <v>174674.73207147594</v>
      </c>
      <c r="O45" s="223">
        <f>O37-O43</f>
        <v>186280.9431903878</v>
      </c>
      <c r="Q45" s="223">
        <f>Q37-Q43</f>
        <v>197671.25194399699</v>
      </c>
      <c r="S45" s="223">
        <f>S37-S43</f>
        <v>208822.54875565541</v>
      </c>
      <c r="U45" s="223">
        <f>U37-U43</f>
        <v>219710.5263886879</v>
      </c>
      <c r="W45" s="223">
        <f>W37-W43</f>
        <v>230309.62830766628</v>
      </c>
      <c r="Y45" s="223">
        <f>Y37-Y43</f>
        <v>240592.99498931819</v>
      </c>
      <c r="AA45" s="223">
        <f>AA37-AA43</f>
        <v>250532.40810522379</v>
      </c>
      <c r="AC45" s="223">
        <f>AC37-AC43</f>
        <v>260098.23249559395</v>
      </c>
      <c r="AE45" s="223">
        <f>AE37-AE43</f>
        <v>269259.35585042031</v>
      </c>
      <c r="AG45" s="223">
        <f>AG37-AG43</f>
        <v>277983.12601122598</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5.3311783288147417E-2</v>
      </c>
      <c r="G47" s="227">
        <f>G45/(G4+G6+G8)</f>
        <v>5.705214395650194E-2</v>
      </c>
      <c r="I47" s="227">
        <f>I45/(I4+I6+I8)</f>
        <v>6.0524397451075372E-2</v>
      </c>
      <c r="K47" s="227">
        <f>K45/(K4+K6+K8)</f>
        <v>6.3733357323766643E-2</v>
      </c>
      <c r="M47" s="227">
        <f>M45/(M4+M6+M8)</f>
        <v>6.6683702887185115E-2</v>
      </c>
      <c r="O47" s="227">
        <f>O45/(O4+O6+O8)</f>
        <v>6.9379982324529396E-2</v>
      </c>
      <c r="Q47" s="227">
        <f>Q45/(Q4+Q6+Q8)</f>
        <v>7.1826615722014236E-2</v>
      </c>
      <c r="S47" s="227">
        <f>S45/(S4+S6+S8)</f>
        <v>7.4027898025716368E-2</v>
      </c>
      <c r="U47" s="227">
        <f>U45/(U4+U6+U8)</f>
        <v>7.5988001924670173E-2</v>
      </c>
      <c r="W47" s="227">
        <f>W45/(W4+W6+W8)</f>
        <v>7.7710980661991669E-2</v>
      </c>
      <c r="Y47" s="227">
        <f>Y45/(Y4+Y6+Y8)</f>
        <v>7.9200770775774629E-2</v>
      </c>
      <c r="AA47" s="227">
        <f>AA45/(AA4+AA6+AA8)</f>
        <v>8.046119477145236E-2</v>
      </c>
      <c r="AC47" s="227">
        <f>AC45/(AC4+AC6+AC8)</f>
        <v>8.1495963727283002E-2</v>
      </c>
      <c r="AE47" s="227">
        <f>AE45/(AE4+AE6+AE8)</f>
        <v>8.2308679834568549E-2</v>
      </c>
      <c r="AG47" s="227">
        <f>AG45/(AG4+AG6+AG8)</f>
        <v>8.2902838874186577E-2</v>
      </c>
    </row>
    <row r="48" spans="1:33" s="227" customFormat="1" ht="14">
      <c r="A48" s="227" t="s">
        <v>852</v>
      </c>
      <c r="C48" s="220"/>
      <c r="E48" s="227">
        <f>E45/E43</f>
        <v>0.15279631299547689</v>
      </c>
      <c r="G48" s="227">
        <f>G45/G43</f>
        <v>0.16760443236107689</v>
      </c>
      <c r="I48" s="227">
        <f>I45/I43</f>
        <v>0.18225013977881033</v>
      </c>
      <c r="K48" s="227">
        <f>K45/K43</f>
        <v>0.1967107334273599</v>
      </c>
      <c r="M48" s="227">
        <f>M45/M43</f>
        <v>0.21096229148658441</v>
      </c>
      <c r="O48" s="227">
        <f>O45/O43</f>
        <v>0.22497961880168124</v>
      </c>
      <c r="Q48" s="227">
        <f>Q45/Q43</f>
        <v>0.23873619141470137</v>
      </c>
      <c r="S48" s="227">
        <f>S45/S43</f>
        <v>0.25220409888211842</v>
      </c>
      <c r="U48" s="227">
        <f>U45/U43</f>
        <v>0.26535398429416135</v>
      </c>
      <c r="W48" s="227">
        <f>W45/W43</f>
        <v>0.27815498190847326</v>
      </c>
      <c r="Y48" s="227">
        <f>Y45/Y43</f>
        <v>0.29057465230745444</v>
      </c>
      <c r="AA48" s="227">
        <f>AA45/AA43</f>
        <v>0.30257891498527123</v>
      </c>
      <c r="AC48" s="227">
        <f>AC45/AC43</f>
        <v>0.31413197826705708</v>
      </c>
      <c r="AE48" s="227">
        <f>AE45/AE43</f>
        <v>0.32519626645920724</v>
      </c>
      <c r="AG48" s="227">
        <f>AG45/AG43</f>
        <v>0.33573234412596892</v>
      </c>
    </row>
    <row r="49" spans="1:34" s="228" customFormat="1" ht="14">
      <c r="A49" s="228" t="s">
        <v>850</v>
      </c>
      <c r="C49" s="229"/>
      <c r="E49" s="228">
        <f>E37/E43</f>
        <v>1.1527963129954768</v>
      </c>
      <c r="G49" s="228">
        <f>G37/G43</f>
        <v>1.1676044323610768</v>
      </c>
      <c r="I49" s="228">
        <f>I37/I43</f>
        <v>1.1822501397788103</v>
      </c>
      <c r="K49" s="228">
        <f>K37/K43</f>
        <v>1.1967107334273599</v>
      </c>
      <c r="M49" s="228">
        <f>M37/M43</f>
        <v>1.2109622914865845</v>
      </c>
      <c r="O49" s="228">
        <f>O37/O43</f>
        <v>1.2249796188016813</v>
      </c>
      <c r="Q49" s="228">
        <f>Q37/Q43</f>
        <v>1.2387361914147015</v>
      </c>
      <c r="S49" s="228">
        <f>S37/S43</f>
        <v>1.2522040988821184</v>
      </c>
      <c r="U49" s="228">
        <f>U37/U43</f>
        <v>1.2653539842941615</v>
      </c>
      <c r="W49" s="228">
        <f>W37/W43</f>
        <v>1.2781549819084732</v>
      </c>
      <c r="Y49" s="228">
        <f>Y37/Y43</f>
        <v>1.2905746523074544</v>
      </c>
      <c r="AA49" s="228">
        <f>AA37/AA43</f>
        <v>1.3025789149852711</v>
      </c>
      <c r="AC49" s="228">
        <f>AC37/AC43</f>
        <v>1.3141319782670571</v>
      </c>
      <c r="AE49" s="228">
        <f>AE37/AE43</f>
        <v>1.3251962664592072</v>
      </c>
      <c r="AG49" s="228">
        <f>AG37/AG43</f>
        <v>1.335732344125969</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1183</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1.0349999999999999</v>
      </c>
      <c r="E53" s="964">
        <v>10800</v>
      </c>
      <c r="G53" s="960">
        <f>E53*$C$53</f>
        <v>11178</v>
      </c>
      <c r="I53" s="960">
        <f>G53*$C$53</f>
        <v>11569.23</v>
      </c>
      <c r="K53" s="960">
        <f>I53*$C$53</f>
        <v>11974.153049999999</v>
      </c>
      <c r="M53" s="960">
        <f>K53*$C$53</f>
        <v>12393.248406749997</v>
      </c>
      <c r="O53" s="960">
        <f>M53*$C$53</f>
        <v>12827.012100986247</v>
      </c>
      <c r="Q53" s="960">
        <f>O53*$C$53</f>
        <v>13275.957524520765</v>
      </c>
      <c r="S53" s="960">
        <f>Q53*$C$53</f>
        <v>13740.616037878992</v>
      </c>
      <c r="U53" s="960">
        <f>S53*$C$53</f>
        <v>14221.537599204756</v>
      </c>
      <c r="W53" s="960">
        <f>U53*$C$53</f>
        <v>14719.291415176922</v>
      </c>
      <c r="Y53" s="960">
        <f>W53*$C$53</f>
        <v>15234.466614708113</v>
      </c>
      <c r="AA53" s="960">
        <f>Y53*$C$53</f>
        <v>15767.672946222896</v>
      </c>
      <c r="AC53" s="960">
        <f>AA53*$C$53</f>
        <v>16319.541499340696</v>
      </c>
      <c r="AE53" s="960">
        <f>AC53*$C$53</f>
        <v>16890.72545181762</v>
      </c>
      <c r="AG53" s="960">
        <f>AE53*$C$53</f>
        <v>17481.900842631236</v>
      </c>
    </row>
    <row r="54" spans="1:34" s="3" customFormat="1">
      <c r="A54" s="3" t="s">
        <v>855</v>
      </c>
      <c r="C54" s="1261">
        <v>1.0349999999999999</v>
      </c>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 t="shared" si="1"/>
        <v>8093.472612329273</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15800</v>
      </c>
      <c r="F58" s="960"/>
      <c r="G58" s="960">
        <f>SUM(G53:G57)</f>
        <v>16353</v>
      </c>
      <c r="H58" s="960"/>
      <c r="I58" s="960">
        <f>SUM(I53:I57)</f>
        <v>16925.355</v>
      </c>
      <c r="J58" s="960"/>
      <c r="K58" s="960">
        <f>SUM(K53:K57)</f>
        <v>17517.742424999997</v>
      </c>
      <c r="L58" s="960"/>
      <c r="M58" s="960">
        <f>SUM(M53:M57)</f>
        <v>18130.863409874997</v>
      </c>
      <c r="N58" s="960"/>
      <c r="O58" s="960">
        <f>SUM(O53:O57)</f>
        <v>18765.443629220619</v>
      </c>
      <c r="P58" s="960"/>
      <c r="Q58" s="960">
        <f>SUM(Q53:Q57)</f>
        <v>19422.234156243343</v>
      </c>
      <c r="R58" s="960"/>
      <c r="S58" s="960">
        <f>SUM(S53:S57)</f>
        <v>20102.012351711855</v>
      </c>
      <c r="T58" s="960"/>
      <c r="U58" s="960">
        <f>SUM(U53:U57)</f>
        <v>20805.582784021772</v>
      </c>
      <c r="V58" s="960"/>
      <c r="W58" s="960">
        <f>SUM(W53:W57)</f>
        <v>21533.778181462534</v>
      </c>
      <c r="X58" s="960"/>
      <c r="Y58" s="960">
        <f>SUM(Y53:Y57)</f>
        <v>22287.46041781372</v>
      </c>
      <c r="Z58" s="960"/>
      <c r="AA58" s="960">
        <f>SUM(AA53:AA57)</f>
        <v>23067.521532437197</v>
      </c>
      <c r="AB58" s="960"/>
      <c r="AC58" s="960">
        <f>SUM(AC53:AC57)</f>
        <v>23874.884786072496</v>
      </c>
      <c r="AD58" s="960"/>
      <c r="AE58" s="960">
        <f>SUM(AE53:AE57)</f>
        <v>24710.505753585036</v>
      </c>
      <c r="AF58" s="960"/>
      <c r="AG58" s="960">
        <f>SUM(AG53:AG57)</f>
        <v>25575.373454960507</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110713.86580000038</v>
      </c>
      <c r="G60" s="962">
        <f>G45-G58</f>
        <v>122421.84506999992</v>
      </c>
      <c r="I60" s="962">
        <f>I45-I58</f>
        <v>133975.99382174978</v>
      </c>
      <c r="K60" s="962">
        <f>K45-K58</f>
        <v>145356.83774229343</v>
      </c>
      <c r="M60" s="962">
        <f>M45-M58</f>
        <v>156543.86866160095</v>
      </c>
      <c r="O60" s="962">
        <f>O45-O58</f>
        <v>167515.49956116718</v>
      </c>
      <c r="Q60" s="962">
        <f>Q45-Q58</f>
        <v>178249.01778775366</v>
      </c>
      <c r="S60" s="962">
        <f>S45-S58</f>
        <v>188720.53640394355</v>
      </c>
      <c r="U60" s="962">
        <f>U45-U58</f>
        <v>198904.94360466613</v>
      </c>
      <c r="W60" s="962">
        <f>W45-W58</f>
        <v>208775.85012620373</v>
      </c>
      <c r="Y60" s="962">
        <f>Y45-Y58</f>
        <v>218305.53457150448</v>
      </c>
      <c r="AA60" s="962">
        <f>AA45-AA58</f>
        <v>227464.88657278661</v>
      </c>
      <c r="AC60" s="962">
        <f>AC45-AC58</f>
        <v>236223.34770952145</v>
      </c>
      <c r="AE60" s="962">
        <f>AE45-AE58</f>
        <v>244548.85009683529</v>
      </c>
      <c r="AG60" s="962">
        <f>AG45-AG58</f>
        <v>252407.75255626548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110713.86580000038</v>
      </c>
      <c r="G62" s="962">
        <f>G60*$C$62</f>
        <v>122421.84506999992</v>
      </c>
      <c r="I62" s="962">
        <f>I60*$C$62</f>
        <v>133975.99382174978</v>
      </c>
      <c r="K62" s="962">
        <f>K60*$C$62</f>
        <v>145356.83774229343</v>
      </c>
      <c r="M62" s="962">
        <f>M60*$C$62</f>
        <v>156543.86866160095</v>
      </c>
      <c r="O62" s="962">
        <f>O60*$C$62</f>
        <v>167515.49956116718</v>
      </c>
      <c r="Q62" s="962">
        <f>Q60*$C$62</f>
        <v>178249.01778775366</v>
      </c>
      <c r="S62" s="962">
        <f>S60*$C$62</f>
        <v>188720.53640394355</v>
      </c>
      <c r="U62" s="962">
        <f>U60*$C$62</f>
        <v>198904.94360466613</v>
      </c>
      <c r="W62" s="962">
        <f>W60*$C$62</f>
        <v>208775.85012620373</v>
      </c>
      <c r="Y62" s="962">
        <f>Y60*$C$62</f>
        <v>218305.53457150448</v>
      </c>
      <c r="AA62" s="962">
        <f>AA60*$C$62</f>
        <v>227464.88657278661</v>
      </c>
      <c r="AC62" s="962">
        <f>AC60*$C$62</f>
        <v>236223.34770952145</v>
      </c>
      <c r="AE62" s="962">
        <f>AE60*$C$62</f>
        <v>244548.85009683529</v>
      </c>
      <c r="AG62" s="962">
        <f>AG60*$C$62</f>
        <v>252407.75255626548</v>
      </c>
    </row>
    <row r="63" spans="1:34" s="962" customFormat="1">
      <c r="A63" s="2694" t="s">
        <v>1183</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2735</v>
      </c>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t="s">
        <v>2614</v>
      </c>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t="s">
        <v>2755</v>
      </c>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1720</v>
      </c>
      <c r="C75" s="183"/>
    </row>
    <row r="76" spans="1:34" s="217" customFormat="1">
      <c r="C76" s="183"/>
    </row>
    <row r="77" spans="1:34" s="234" customFormat="1" ht="30" customHeight="1">
      <c r="A77" s="2692" t="s">
        <v>1719</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2.5" zeroHeight="1"/>
  <cols>
    <col min="1" max="1" width="35.6328125" style="204" customWidth="1"/>
    <col min="2" max="4" width="14.6328125" style="204" customWidth="1"/>
    <col min="5" max="5" width="50.6328125" style="204" customWidth="1"/>
    <col min="6" max="253" width="9.08984375" style="204" customWidth="1"/>
    <col min="254" max="16384" width="9.08984375" style="204"/>
  </cols>
  <sheetData>
    <row r="1" spans="1:6" s="275" customFormat="1" ht="18" customHeight="1">
      <c r="A1" s="513" t="s">
        <v>1216</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100000</v>
      </c>
      <c r="C6" s="266">
        <f>'Sources and Uses Budget'!$C5</f>
        <v>100000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100000</v>
      </c>
      <c r="C9" s="270">
        <f>SUM(C5:C8)</f>
        <v>100000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600000</v>
      </c>
      <c r="C13" s="270">
        <f>SUM(C9+C12)</f>
        <v>600000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28077037</v>
      </c>
      <c r="C31" s="266">
        <f>'Sources and Uses Budget'!$C30</f>
        <v>28077037</v>
      </c>
      <c r="D31" s="270">
        <f t="shared" si="0"/>
        <v>0</v>
      </c>
      <c r="E31" s="268"/>
      <c r="F31" s="267"/>
    </row>
    <row r="32" spans="1:6" s="352" customFormat="1">
      <c r="A32" s="145" t="s">
        <v>600</v>
      </c>
      <c r="B32" s="266">
        <f>'Sources and Uses Budget'!$C31</f>
        <v>1774622</v>
      </c>
      <c r="C32" s="266">
        <f>'Sources and Uses Budget'!$C31</f>
        <v>1774622</v>
      </c>
      <c r="D32" s="270">
        <f t="shared" si="0"/>
        <v>0</v>
      </c>
      <c r="E32" s="268"/>
      <c r="F32" s="267"/>
    </row>
    <row r="33" spans="1:6" s="352" customFormat="1">
      <c r="A33" s="145" t="s">
        <v>137</v>
      </c>
      <c r="B33" s="266">
        <f>'Sources and Uses Budget'!$C32</f>
        <v>1183081</v>
      </c>
      <c r="C33" s="266">
        <f>'Sources and Uses Budget'!$C32</f>
        <v>1183081</v>
      </c>
      <c r="D33" s="270">
        <f t="shared" si="0"/>
        <v>0</v>
      </c>
      <c r="E33" s="268"/>
      <c r="F33" s="267"/>
    </row>
    <row r="34" spans="1:6" s="352" customFormat="1">
      <c r="A34" s="145" t="s">
        <v>138</v>
      </c>
      <c r="B34" s="266">
        <f>'Sources and Uses Budget'!$C33</f>
        <v>1183081</v>
      </c>
      <c r="C34" s="266">
        <f>'Sources and Uses Budget'!$C33</f>
        <v>1183081</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337178</v>
      </c>
      <c r="C36" s="266">
        <f>'Sources and Uses Budget'!$C35</f>
        <v>337178</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33554999</v>
      </c>
      <c r="C39" s="270">
        <f>SUM(C30:C38)</f>
        <v>33554999</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1360000</v>
      </c>
      <c r="C41" s="266">
        <f>'Sources and Uses Budget'!$C40</f>
        <v>1360000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1360000</v>
      </c>
      <c r="C43" s="270">
        <f>SUM(C41:C42)</f>
        <v>1360000</v>
      </c>
      <c r="D43" s="270">
        <f t="shared" si="0"/>
        <v>0</v>
      </c>
      <c r="E43" s="268"/>
      <c r="F43" s="267"/>
    </row>
    <row r="44" spans="1:6" s="352" customFormat="1" ht="13">
      <c r="A44" s="271" t="s">
        <v>148</v>
      </c>
      <c r="B44" s="266">
        <f>'Sources and Uses Budget'!$C43</f>
        <v>650000</v>
      </c>
      <c r="C44" s="266">
        <f>'Sources and Uses Budget'!$C43</f>
        <v>650000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4566776</v>
      </c>
      <c r="C46" s="266">
        <f>'Sources and Uses Budget'!$C45</f>
        <v>4566776</v>
      </c>
      <c r="D46" s="270">
        <f t="shared" si="0"/>
        <v>0</v>
      </c>
      <c r="E46" s="268"/>
      <c r="F46" s="267"/>
    </row>
    <row r="47" spans="1:6" s="352" customFormat="1">
      <c r="A47" s="145" t="s">
        <v>151</v>
      </c>
      <c r="B47" s="266">
        <f>'Sources and Uses Budget'!$C46</f>
        <v>261619</v>
      </c>
      <c r="C47" s="266">
        <f>'Sources and Uses Budget'!$C46</f>
        <v>261619</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65405</v>
      </c>
      <c r="C50" s="266">
        <f>'Sources and Uses Budget'!$C49</f>
        <v>65405</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341000</v>
      </c>
      <c r="C53" s="266">
        <f>'Sources and Uses Budget'!$C52</f>
        <v>341000</v>
      </c>
      <c r="D53" s="270">
        <f t="shared" si="0"/>
        <v>0</v>
      </c>
      <c r="E53" s="268"/>
      <c r="F53" s="267"/>
    </row>
    <row r="54" spans="1:6" s="352" customFormat="1">
      <c r="A54" s="155" t="str">
        <f>'Sources and Uses Budget'!A53</f>
        <v>Other: (Employee Reporting)</v>
      </c>
      <c r="B54" s="266">
        <f>'Sources and Uses Budget'!$C53</f>
        <v>25000</v>
      </c>
      <c r="C54" s="266">
        <f>'Sources and Uses Budget'!$C53</f>
        <v>25000</v>
      </c>
      <c r="D54" s="270">
        <f t="shared" si="0"/>
        <v>0</v>
      </c>
      <c r="E54" s="268"/>
      <c r="F54" s="267"/>
    </row>
    <row r="55" spans="1:6" s="353" customFormat="1" ht="13">
      <c r="A55" s="271" t="s">
        <v>157</v>
      </c>
      <c r="B55" s="273">
        <f>SUM(B46:B54)</f>
        <v>5374800</v>
      </c>
      <c r="C55" s="273">
        <f>SUM(C46:C54)</f>
        <v>5374800</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(Legal For Perm Loan)</v>
      </c>
      <c r="B62" s="266">
        <f>'Sources and Uses Budget'!$C61</f>
        <v>15000</v>
      </c>
      <c r="C62" s="266">
        <f>'Sources and Uses Budget'!$C61</f>
        <v>15000</v>
      </c>
      <c r="D62" s="270">
        <f t="shared" si="0"/>
        <v>0</v>
      </c>
      <c r="E62" s="268"/>
      <c r="F62" s="267"/>
    </row>
    <row r="63" spans="1:6" s="352" customFormat="1" ht="13.75" customHeight="1">
      <c r="A63" s="271" t="s">
        <v>301</v>
      </c>
      <c r="B63" s="270">
        <f>SUM(B57:B62)</f>
        <v>25000</v>
      </c>
      <c r="C63" s="270">
        <f>SUM(C57:C62)</f>
        <v>25000</v>
      </c>
      <c r="D63" s="270">
        <f t="shared" si="0"/>
        <v>0</v>
      </c>
      <c r="E63" s="268"/>
      <c r="F63" s="267"/>
    </row>
    <row r="64" spans="1:6" s="352" customFormat="1" ht="13">
      <c r="A64" s="274" t="s">
        <v>302</v>
      </c>
      <c r="B64" s="270">
        <f>SUM(B9+B12+B14+B15+B17+B26+B28+B39+B43+B44+B55+B63)</f>
        <v>41564799</v>
      </c>
      <c r="C64" s="270">
        <f>SUM(C9+C12+C14+C15+C17+C26+C28+C39+C43+C44+C55+C63)</f>
        <v>41564799</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ht="23">
      <c r="A70" s="155" t="str">
        <f>'Sources and Uses Budget'!A69</f>
        <v>Other: (Lender, Bond Issuer, and Partnership Legal)</v>
      </c>
      <c r="B70" s="266">
        <f>'Sources and Uses Budget'!$C69</f>
        <v>225000</v>
      </c>
      <c r="C70" s="266">
        <f>'Sources and Uses Budget'!$C69</f>
        <v>225000</v>
      </c>
      <c r="D70" s="270">
        <f t="shared" si="0"/>
        <v>0</v>
      </c>
      <c r="E70" s="268"/>
      <c r="F70" s="267"/>
    </row>
    <row r="71" spans="1:6" s="352" customFormat="1">
      <c r="A71" s="149" t="s">
        <v>1644</v>
      </c>
      <c r="B71" s="270">
        <f>SUM(B66:B70)</f>
        <v>325000</v>
      </c>
      <c r="C71" s="270">
        <f>SUM(C66:C70)</f>
        <v>325000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1063963</v>
      </c>
      <c r="C76" s="266">
        <f>'Sources and Uses Budget'!$C75</f>
        <v>1063963</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1063963</v>
      </c>
      <c r="C78" s="270">
        <f>SUM(C73:C77)</f>
        <v>1063963</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1707750</v>
      </c>
      <c r="C80" s="266">
        <f>'Sources and Uses Budget'!$C79</f>
        <v>1707750</v>
      </c>
      <c r="D80" s="270">
        <f t="shared" si="1"/>
        <v>0</v>
      </c>
      <c r="E80" s="268"/>
      <c r="F80" s="267"/>
    </row>
    <row r="81" spans="1:6" s="352" customFormat="1">
      <c r="A81" s="510" t="s">
        <v>58</v>
      </c>
      <c r="B81" s="266">
        <f>'Sources and Uses Budget'!$C80</f>
        <v>476774</v>
      </c>
      <c r="C81" s="266">
        <f>'Sources and Uses Budget'!$C80</f>
        <v>476774</v>
      </c>
      <c r="D81" s="270">
        <f>C81-B81</f>
        <v>0</v>
      </c>
      <c r="E81" s="268"/>
      <c r="F81" s="267"/>
    </row>
    <row r="82" spans="1:6" s="352" customFormat="1" ht="13">
      <c r="A82" s="271" t="s">
        <v>1208</v>
      </c>
      <c r="B82" s="270">
        <f>SUM(B80:B81)</f>
        <v>2184524</v>
      </c>
      <c r="C82" s="270">
        <f>SUM(C80:C81)</f>
        <v>2184524</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97036</v>
      </c>
      <c r="C84" s="266">
        <f>'Sources and Uses Budget'!$C83</f>
        <v>97036</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1497109</v>
      </c>
      <c r="C86" s="266">
        <f>'Sources and Uses Budget'!$C85</f>
        <v>1497109</v>
      </c>
      <c r="D86" s="270">
        <f t="shared" si="1"/>
        <v>0</v>
      </c>
      <c r="E86" s="268"/>
      <c r="F86" s="267"/>
    </row>
    <row r="87" spans="1:6" s="352" customFormat="1">
      <c r="A87" s="269" t="s">
        <v>769</v>
      </c>
      <c r="B87" s="266">
        <f>'Sources and Uses Budget'!$C86</f>
        <v>1442891</v>
      </c>
      <c r="C87" s="266">
        <f>'Sources and Uses Budget'!$C86</f>
        <v>1442891</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50000</v>
      </c>
      <c r="C90" s="266">
        <f>'Sources and Uses Budget'!$C89</f>
        <v>50000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1210</v>
      </c>
      <c r="B93" s="266">
        <f>'Sources and Uses Budget'!$C92</f>
        <v>20000</v>
      </c>
      <c r="C93" s="266">
        <f>'Sources and Uses Budget'!$C92</f>
        <v>20000</v>
      </c>
      <c r="D93" s="270">
        <f t="shared" si="1"/>
        <v>0</v>
      </c>
      <c r="E93" s="268"/>
      <c r="F93" s="267"/>
    </row>
    <row r="94" spans="1:6" s="352" customFormat="1">
      <c r="A94" s="272" t="s">
        <v>34</v>
      </c>
      <c r="B94" s="266">
        <f>'Sources and Uses Budget'!$C93</f>
        <v>9188</v>
      </c>
      <c r="C94" s="266">
        <f>'Sources and Uses Budget'!$C93</f>
        <v>9188</v>
      </c>
      <c r="D94" s="270">
        <f t="shared" si="1"/>
        <v>0</v>
      </c>
      <c r="E94" s="268"/>
      <c r="F94" s="267"/>
    </row>
    <row r="95" spans="1:6" s="352" customFormat="1">
      <c r="A95" s="272" t="s">
        <v>34</v>
      </c>
      <c r="B95" s="266">
        <f>'Sources and Uses Budget'!$C94</f>
        <v>250000</v>
      </c>
      <c r="C95" s="266">
        <f>'Sources and Uses Budget'!$C94</f>
        <v>250000</v>
      </c>
      <c r="D95" s="270">
        <f t="shared" si="1"/>
        <v>0</v>
      </c>
      <c r="E95" s="268"/>
      <c r="F95" s="267"/>
    </row>
    <row r="96" spans="1:6" s="352" customFormat="1">
      <c r="A96" s="272" t="s">
        <v>34</v>
      </c>
      <c r="B96" s="266">
        <f>'Sources and Uses Budget'!$C95</f>
        <v>500000</v>
      </c>
      <c r="C96" s="266">
        <f>'Sources and Uses Budget'!$C95</f>
        <v>500000</v>
      </c>
      <c r="D96" s="270">
        <f t="shared" si="1"/>
        <v>0</v>
      </c>
      <c r="E96" s="268"/>
      <c r="F96" s="267"/>
    </row>
    <row r="97" spans="1:6" s="352" customFormat="1" ht="13">
      <c r="A97" s="271" t="s">
        <v>774</v>
      </c>
      <c r="B97" s="270">
        <f>SUM(B84:B96)</f>
        <v>4031224</v>
      </c>
      <c r="C97" s="270">
        <f>SUM(C84:C96)</f>
        <v>4031224</v>
      </c>
      <c r="D97" s="270">
        <f t="shared" si="1"/>
        <v>0</v>
      </c>
      <c r="E97" s="268"/>
      <c r="F97" s="267"/>
    </row>
    <row r="98" spans="1:6" s="352" customFormat="1" ht="13">
      <c r="A98" s="271" t="s">
        <v>775</v>
      </c>
      <c r="B98" s="270">
        <f>SUM(B64+B71+B78+B82+B97)</f>
        <v>49169510</v>
      </c>
      <c r="C98" s="270">
        <f>SUM(C64+C71+C78+C82+C97)</f>
        <v>49169510</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6800000</v>
      </c>
      <c r="C100" s="266">
        <f>'Sources and Uses Budget'!$C99</f>
        <v>6800000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6800000</v>
      </c>
      <c r="C105" s="270">
        <f>SUM(C100:C104)</f>
        <v>6800000</v>
      </c>
      <c r="D105" s="270">
        <f t="shared" si="1"/>
        <v>0</v>
      </c>
      <c r="E105" s="268"/>
      <c r="F105" s="267"/>
    </row>
    <row r="106" spans="1:6" s="352" customFormat="1" ht="13">
      <c r="A106" s="271" t="s">
        <v>780</v>
      </c>
      <c r="B106" s="273">
        <f>SUM(B98+B105)</f>
        <v>55969510</v>
      </c>
      <c r="C106" s="273">
        <f>SUM(C98+C105)</f>
        <v>55969510</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81640625" style="402" hidden="1"/>
  </cols>
  <sheetData>
    <row r="1" spans="1:10" ht="15.5">
      <c r="A1" s="1276" t="s">
        <v>1867</v>
      </c>
      <c r="B1" s="1277"/>
      <c r="C1" s="1277"/>
      <c r="D1" s="1277"/>
      <c r="E1" s="1277"/>
      <c r="F1" s="1277"/>
      <c r="G1" s="1277"/>
      <c r="H1" s="1277"/>
      <c r="I1" s="1277"/>
      <c r="J1" s="1277"/>
    </row>
    <row r="2" spans="1:10" ht="15.5">
      <c r="A2" s="1280" t="s">
        <v>1267</v>
      </c>
      <c r="B2" s="1281"/>
      <c r="C2" s="1281"/>
      <c r="D2" s="1281"/>
      <c r="E2" s="1281"/>
      <c r="F2" s="1281"/>
      <c r="G2" s="1281"/>
      <c r="H2" s="1281"/>
      <c r="I2" s="1281"/>
      <c r="J2" s="1281"/>
    </row>
    <row r="3" spans="1:10"/>
    <row r="4" spans="1:10" ht="12.75" customHeight="1">
      <c r="A4" s="1278" t="s">
        <v>2045</v>
      </c>
      <c r="B4" s="1278"/>
      <c r="C4" s="1278"/>
      <c r="D4" s="1278"/>
      <c r="E4" s="1278"/>
      <c r="F4" s="1278"/>
      <c r="G4" s="1278"/>
      <c r="H4" s="1278"/>
      <c r="I4" s="1278"/>
      <c r="J4" s="1278"/>
    </row>
    <row r="5" spans="1:10">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row r="10" spans="1:10" ht="12.75" customHeight="1">
      <c r="A10" s="1282" t="s">
        <v>1872</v>
      </c>
      <c r="B10" s="1282"/>
      <c r="C10" s="1282"/>
      <c r="D10" s="1282"/>
      <c r="E10" s="1282"/>
      <c r="F10" s="1282"/>
      <c r="G10" s="1282"/>
      <c r="H10" s="1282"/>
      <c r="I10" s="1282"/>
      <c r="J10" s="1282"/>
    </row>
    <row r="11" spans="1:10">
      <c r="A11" s="1282"/>
      <c r="B11" s="1282"/>
      <c r="C11" s="1282"/>
      <c r="D11" s="1282"/>
      <c r="E11" s="1282"/>
      <c r="F11" s="1282"/>
      <c r="G11" s="1282"/>
      <c r="H11" s="1282"/>
      <c r="I11" s="1282"/>
      <c r="J11" s="1282"/>
    </row>
    <row r="12" spans="1:10">
      <c r="A12" s="1282"/>
      <c r="B12" s="1282"/>
      <c r="C12" s="1282"/>
      <c r="D12" s="1282"/>
      <c r="E12" s="1282"/>
      <c r="F12" s="1282"/>
      <c r="G12" s="1282"/>
      <c r="H12" s="1282"/>
      <c r="I12" s="1282"/>
      <c r="J12" s="1282"/>
    </row>
    <row r="13" spans="1:10">
      <c r="A13" s="1282"/>
      <c r="B13" s="1282"/>
      <c r="C13" s="1282"/>
      <c r="D13" s="1282"/>
      <c r="E13" s="1282"/>
      <c r="F13" s="1282"/>
      <c r="G13" s="1282"/>
      <c r="H13" s="1282"/>
      <c r="I13" s="1282"/>
      <c r="J13" s="1282"/>
    </row>
    <row r="14" spans="1:10">
      <c r="A14" s="1282"/>
      <c r="B14" s="1282"/>
      <c r="C14" s="1282"/>
      <c r="D14" s="1282"/>
      <c r="E14" s="1282"/>
      <c r="F14" s="1282"/>
      <c r="G14" s="1282"/>
      <c r="H14" s="1282"/>
      <c r="I14" s="1282"/>
      <c r="J14" s="1282"/>
    </row>
    <row r="15" spans="1:10">
      <c r="A15" s="1282"/>
      <c r="B15" s="1282"/>
      <c r="C15" s="1282"/>
      <c r="D15" s="1282"/>
      <c r="E15" s="1282"/>
      <c r="F15" s="1282"/>
      <c r="G15" s="1282"/>
      <c r="H15" s="1282"/>
      <c r="I15" s="1282"/>
      <c r="J15" s="1282"/>
    </row>
    <row r="16" spans="1:10">
      <c r="A16" s="524"/>
      <c r="B16" s="524"/>
      <c r="C16" s="524"/>
      <c r="D16" s="524"/>
      <c r="E16" s="524"/>
      <c r="F16" s="524"/>
      <c r="G16" s="524"/>
      <c r="H16" s="524"/>
      <c r="I16" s="524"/>
      <c r="J16" s="524"/>
    </row>
    <row r="17" spans="1:10">
      <c r="A17" s="476" t="s">
        <v>1871</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81" t="s">
        <v>1188</v>
      </c>
      <c r="B19" s="1281"/>
      <c r="C19" s="1281"/>
      <c r="D19" s="1281"/>
      <c r="E19" s="1281"/>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8" t="s">
        <v>1189</v>
      </c>
      <c r="B56" s="1278"/>
      <c r="C56" s="1278"/>
      <c r="D56" s="1278"/>
      <c r="E56" s="1278"/>
      <c r="F56" s="1278"/>
      <c r="G56" s="1278"/>
      <c r="H56" s="1278"/>
      <c r="I56" s="1278"/>
      <c r="J56" s="1278"/>
    </row>
    <row r="57" spans="1:10">
      <c r="A57" s="1278"/>
      <c r="B57" s="1278"/>
      <c r="C57" s="1278"/>
      <c r="D57" s="1278"/>
      <c r="E57" s="1278"/>
      <c r="F57" s="1278"/>
      <c r="G57" s="1278"/>
      <c r="H57" s="1278"/>
      <c r="I57" s="1278"/>
      <c r="J57" s="1278"/>
    </row>
    <row r="58" spans="1:10">
      <c r="A58" s="1278"/>
      <c r="B58" s="1278"/>
      <c r="C58" s="1278"/>
      <c r="D58" s="1278"/>
      <c r="E58" s="1278"/>
      <c r="F58" s="1278"/>
      <c r="G58" s="1278"/>
      <c r="H58" s="1278"/>
      <c r="I58" s="1278"/>
      <c r="J58" s="1278"/>
    </row>
    <row r="59" spans="1:10"/>
    <row r="60" spans="1:10">
      <c r="A60" s="402" t="s">
        <v>1188</v>
      </c>
    </row>
    <row r="61" spans="1:10"/>
    <row r="62" spans="1:10"/>
    <row r="63" spans="1:10"/>
    <row r="64" spans="1:10"/>
    <row r="65" spans="1:9"/>
    <row r="66" spans="1:9"/>
    <row r="67" spans="1:9"/>
    <row r="68" spans="1:9"/>
    <row r="69" spans="1:9"/>
    <row r="70" spans="1:9"/>
    <row r="71" spans="1:9" ht="13">
      <c r="A71" s="1279" t="s">
        <v>1868</v>
      </c>
      <c r="B71" s="1279"/>
      <c r="C71" s="1279"/>
      <c r="D71" s="1279"/>
      <c r="E71" s="1279"/>
      <c r="F71" s="1279"/>
      <c r="G71" s="1279"/>
      <c r="H71" s="1279"/>
      <c r="I71" s="1279"/>
    </row>
    <row r="72" spans="1:9">
      <c r="A72" s="1269" t="s">
        <v>2043</v>
      </c>
      <c r="B72" s="1269"/>
      <c r="C72" s="1269"/>
      <c r="D72" s="1269"/>
      <c r="E72" s="1269"/>
    </row>
    <row r="73" spans="1:9">
      <c r="A73" s="1269" t="s">
        <v>2044</v>
      </c>
      <c r="B73" s="1269"/>
      <c r="C73" s="1269"/>
      <c r="D73" s="1269"/>
      <c r="E73" s="1269"/>
    </row>
    <row r="74" spans="1:9">
      <c r="A74" s="1269" t="s">
        <v>1869</v>
      </c>
      <c r="B74" s="1269"/>
      <c r="C74" s="1269"/>
      <c r="D74" s="1269"/>
      <c r="E74" s="1269"/>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view="pageBreakPreview" topLeftCell="A947" zoomScaleNormal="100" zoomScaleSheetLayoutView="100" workbookViewId="0">
      <selection activeCell="B975" sqref="B975"/>
    </sheetView>
  </sheetViews>
  <sheetFormatPr defaultColWidth="0" defaultRowHeight="13" zeroHeight="1"/>
  <cols>
    <col min="1" max="1" width="3.453125" style="480" customWidth="1"/>
    <col min="2" max="2" width="13.453125" style="480" customWidth="1"/>
    <col min="3" max="3" width="2.453125" style="480" customWidth="1"/>
    <col min="4" max="5" width="3.453125" style="402" customWidth="1"/>
    <col min="6" max="6" width="65.453125" style="402" customWidth="1"/>
    <col min="7" max="7" width="1.453125" style="402" customWidth="1"/>
    <col min="8" max="8" width="3.453125" style="402" customWidth="1"/>
    <col min="9" max="9" width="9.08984375" style="404" customWidth="1"/>
    <col min="10" max="10" width="8.81640625" style="402" hidden="1" customWidth="1"/>
    <col min="11" max="16384" width="8.81640625" style="402" hidden="1"/>
  </cols>
  <sheetData>
    <row r="1" spans="1:13"/>
    <row r="2" spans="1:13">
      <c r="A2" s="1283" t="s">
        <v>2457</v>
      </c>
      <c r="B2" s="1283"/>
      <c r="C2" s="1283"/>
      <c r="D2" s="1283"/>
      <c r="E2" s="1283"/>
      <c r="F2" s="1283"/>
      <c r="G2" s="1283"/>
      <c r="H2" s="1283"/>
      <c r="I2" s="1283"/>
    </row>
    <row r="3" spans="1:13">
      <c r="A3" s="1284" t="s">
        <v>2217</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2216</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1100</v>
      </c>
      <c r="B9" s="1288"/>
      <c r="C9" s="1288"/>
      <c r="D9" s="1288"/>
      <c r="E9" s="1288"/>
      <c r="F9" s="1288"/>
      <c r="G9" s="1288"/>
      <c r="H9" s="1028"/>
      <c r="I9" s="1029"/>
    </row>
    <row r="10" spans="1:13">
      <c r="A10" s="482"/>
      <c r="B10" s="482"/>
      <c r="E10" s="404"/>
    </row>
    <row r="11" spans="1:13" ht="13.75" customHeight="1">
      <c r="C11" s="482"/>
      <c r="D11" s="1307" t="s">
        <v>1099</v>
      </c>
      <c r="E11" s="1307"/>
      <c r="F11" s="1307"/>
    </row>
    <row r="12" spans="1:13">
      <c r="C12" s="482"/>
      <c r="D12" s="1307"/>
      <c r="E12" s="1307"/>
      <c r="F12" s="1307"/>
    </row>
    <row r="13" spans="1:13">
      <c r="A13" s="483"/>
      <c r="B13" s="483"/>
      <c r="C13" s="483"/>
      <c r="D13" s="1286" t="s">
        <v>1089</v>
      </c>
      <c r="E13" s="1286"/>
      <c r="F13" s="1286"/>
      <c r="M13" s="96"/>
    </row>
    <row r="14" spans="1:13">
      <c r="A14" s="483"/>
      <c r="B14" s="483"/>
      <c r="C14" s="483"/>
      <c r="D14" s="476"/>
      <c r="L14" s="312"/>
    </row>
    <row r="15" spans="1:13">
      <c r="A15" s="484"/>
      <c r="B15" s="485" t="s">
        <v>2711</v>
      </c>
      <c r="C15" s="483"/>
      <c r="D15" s="1285" t="s">
        <v>1920</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1918</v>
      </c>
      <c r="F18" s="445"/>
      <c r="I18" s="490"/>
    </row>
    <row r="19" spans="1:9">
      <c r="A19" s="483"/>
      <c r="B19" s="483"/>
      <c r="C19" s="483"/>
      <c r="I19" s="490"/>
    </row>
    <row r="20" spans="1:9">
      <c r="A20" s="484"/>
      <c r="B20" s="485" t="s">
        <v>2711</v>
      </c>
      <c r="D20" s="1285" t="s">
        <v>1921</v>
      </c>
      <c r="E20" s="1285"/>
      <c r="F20" s="1285"/>
      <c r="I20" s="490"/>
    </row>
    <row r="21" spans="1:9">
      <c r="A21" s="484"/>
      <c r="D21" s="1285"/>
      <c r="E21" s="1285"/>
      <c r="F21" s="1285"/>
      <c r="I21" s="490"/>
    </row>
    <row r="22" spans="1:9">
      <c r="A22" s="484"/>
      <c r="D22" s="392"/>
      <c r="E22" s="96" t="s">
        <v>1917</v>
      </c>
      <c r="F22" s="392"/>
      <c r="I22" s="490"/>
    </row>
    <row r="23" spans="1:9">
      <c r="A23" s="484"/>
      <c r="B23" s="484"/>
      <c r="D23" s="446"/>
      <c r="I23" s="490"/>
    </row>
    <row r="24" spans="1:9">
      <c r="A24" s="484"/>
      <c r="B24" s="485" t="s">
        <v>2712</v>
      </c>
      <c r="D24" s="1285" t="s">
        <v>1090</v>
      </c>
      <c r="E24" s="1285"/>
      <c r="F24" s="1285"/>
      <c r="I24" s="490"/>
    </row>
    <row r="25" spans="1:9">
      <c r="A25" s="484"/>
      <c r="B25" s="484"/>
      <c r="D25" s="1285"/>
      <c r="E25" s="1285"/>
      <c r="F25" s="1285"/>
      <c r="I25" s="490"/>
    </row>
    <row r="26" spans="1:9">
      <c r="I26" s="490"/>
    </row>
    <row r="27" spans="1:9">
      <c r="A27" s="484"/>
      <c r="B27" s="485" t="s">
        <v>2711</v>
      </c>
      <c r="D27" s="1285" t="s">
        <v>2046</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2711</v>
      </c>
      <c r="D33" s="1285" t="s">
        <v>2047</v>
      </c>
      <c r="E33" s="1285"/>
      <c r="F33" s="1285"/>
      <c r="I33" s="490"/>
    </row>
    <row r="34" spans="1:9">
      <c r="D34" s="1285"/>
      <c r="E34" s="1285"/>
      <c r="F34" s="1285"/>
      <c r="I34" s="490"/>
    </row>
    <row r="35" spans="1:9">
      <c r="A35" s="484"/>
      <c r="B35" s="484"/>
      <c r="D35" s="447"/>
      <c r="I35" s="490"/>
    </row>
    <row r="36" spans="1:9" ht="14.5" customHeight="1">
      <c r="A36" s="484"/>
      <c r="B36" s="485" t="s">
        <v>2712</v>
      </c>
      <c r="D36" s="1285" t="s">
        <v>1213</v>
      </c>
      <c r="E36" s="1285"/>
      <c r="F36" s="1285"/>
      <c r="I36" s="490"/>
    </row>
    <row r="37" spans="1:9">
      <c r="A37" s="484"/>
      <c r="B37" s="484"/>
      <c r="D37" s="1285"/>
      <c r="E37" s="1285"/>
      <c r="F37" s="1285"/>
      <c r="I37" s="490"/>
    </row>
    <row r="38" spans="1:9">
      <c r="A38" s="484"/>
      <c r="B38" s="484"/>
      <c r="D38" s="1285"/>
      <c r="E38" s="1285"/>
      <c r="F38" s="1285"/>
      <c r="I38" s="490"/>
    </row>
    <row r="39" spans="1:9">
      <c r="A39" s="484"/>
      <c r="B39" s="484"/>
      <c r="D39" s="1285"/>
      <c r="E39" s="1285"/>
      <c r="F39" s="1285"/>
      <c r="I39" s="490"/>
    </row>
    <row r="40" spans="1:9">
      <c r="A40" s="484"/>
      <c r="B40" s="484"/>
      <c r="I40" s="490"/>
    </row>
    <row r="41" spans="1:9">
      <c r="A41" s="484"/>
      <c r="B41" s="485" t="s">
        <v>2711</v>
      </c>
      <c r="D41" s="1285" t="s">
        <v>1091</v>
      </c>
      <c r="E41" s="1285"/>
      <c r="F41" s="1285"/>
      <c r="I41" s="490"/>
    </row>
    <row r="42" spans="1:9">
      <c r="A42" s="484"/>
      <c r="B42" s="484"/>
      <c r="D42" s="1285"/>
      <c r="E42" s="1285"/>
      <c r="F42" s="1285"/>
      <c r="I42" s="490"/>
    </row>
    <row r="43" spans="1:9">
      <c r="A43" s="484"/>
      <c r="B43" s="484"/>
      <c r="D43" s="1285"/>
      <c r="E43" s="1285"/>
      <c r="F43" s="1285"/>
      <c r="I43" s="490"/>
    </row>
    <row r="44" spans="1:9">
      <c r="A44" s="484"/>
      <c r="B44" s="484"/>
      <c r="D44" s="1285"/>
      <c r="E44" s="1285"/>
      <c r="F44" s="1285"/>
      <c r="I44" s="490"/>
    </row>
    <row r="45" spans="1:9">
      <c r="A45" s="484"/>
      <c r="B45" s="484"/>
      <c r="D45" s="1285"/>
      <c r="E45" s="1285"/>
      <c r="F45" s="1285"/>
      <c r="I45" s="490"/>
    </row>
    <row r="46" spans="1:9">
      <c r="A46" s="484"/>
      <c r="B46" s="484"/>
      <c r="D46" s="445"/>
      <c r="E46" s="445"/>
      <c r="F46" s="445"/>
      <c r="I46" s="490"/>
    </row>
    <row r="47" spans="1:9">
      <c r="A47" s="484"/>
      <c r="B47" s="485" t="s">
        <v>2712</v>
      </c>
      <c r="D47" s="1285" t="s">
        <v>1092</v>
      </c>
      <c r="E47" s="1285"/>
      <c r="F47" s="1285"/>
      <c r="I47" s="490"/>
    </row>
    <row r="48" spans="1:9">
      <c r="A48" s="484"/>
      <c r="B48" s="484"/>
      <c r="D48" s="1285"/>
      <c r="E48" s="1285"/>
      <c r="F48" s="1285"/>
      <c r="I48" s="490"/>
    </row>
    <row r="49" spans="1:9">
      <c r="A49" s="484"/>
      <c r="B49" s="484"/>
      <c r="D49" s="1285"/>
      <c r="E49" s="1285"/>
      <c r="F49" s="1285"/>
      <c r="I49" s="490"/>
    </row>
    <row r="50" spans="1:9" ht="23.25" customHeight="1">
      <c r="A50" s="484"/>
      <c r="B50" s="484"/>
      <c r="D50" s="1285"/>
      <c r="E50" s="1285"/>
      <c r="F50" s="1285"/>
      <c r="I50" s="490"/>
    </row>
    <row r="51" spans="1:9">
      <c r="A51" s="484"/>
      <c r="B51" s="484"/>
      <c r="D51" s="446"/>
      <c r="I51" s="490"/>
    </row>
    <row r="52" spans="1:9" ht="14.5" customHeight="1">
      <c r="A52" s="484"/>
      <c r="B52" s="485" t="s">
        <v>2712</v>
      </c>
      <c r="D52" s="1285" t="s">
        <v>1093</v>
      </c>
      <c r="E52" s="1285"/>
      <c r="F52" s="1285"/>
      <c r="I52" s="490"/>
    </row>
    <row r="53" spans="1:9">
      <c r="A53" s="484"/>
      <c r="B53" s="484"/>
      <c r="D53" s="1285"/>
      <c r="E53" s="1285"/>
      <c r="F53" s="1285"/>
      <c r="I53" s="490"/>
    </row>
    <row r="54" spans="1:9">
      <c r="A54" s="484"/>
      <c r="B54" s="484"/>
      <c r="D54" s="1285"/>
      <c r="E54" s="1285"/>
      <c r="F54" s="1285"/>
      <c r="I54" s="490"/>
    </row>
    <row r="55" spans="1:9">
      <c r="A55" s="484"/>
      <c r="B55" s="484"/>
      <c r="I55" s="490"/>
    </row>
    <row r="56" spans="1:9">
      <c r="A56" s="484"/>
      <c r="B56" s="485" t="s">
        <v>2711</v>
      </c>
      <c r="D56" s="1309" t="s">
        <v>1094</v>
      </c>
      <c r="E56" s="1309"/>
      <c r="F56" s="1309"/>
      <c r="I56" s="490"/>
    </row>
    <row r="57" spans="1:9">
      <c r="A57" s="484"/>
      <c r="B57" s="484"/>
      <c r="D57" s="1309"/>
      <c r="E57" s="1309"/>
      <c r="F57" s="1309"/>
      <c r="I57" s="490"/>
    </row>
    <row r="58" spans="1:9">
      <c r="A58" s="484"/>
      <c r="B58" s="484"/>
      <c r="D58" s="392" t="s">
        <v>1919</v>
      </c>
      <c r="E58" s="445"/>
      <c r="F58" s="445"/>
      <c r="I58" s="490"/>
    </row>
    <row r="59" spans="1:9">
      <c r="A59" s="484"/>
      <c r="B59" s="484"/>
      <c r="D59" s="445"/>
      <c r="E59" s="312" t="s">
        <v>1918</v>
      </c>
      <c r="F59" s="445"/>
      <c r="I59" s="490"/>
    </row>
    <row r="60" spans="1:9">
      <c r="D60" s="447"/>
      <c r="I60" s="490"/>
    </row>
    <row r="61" spans="1:9">
      <c r="A61" s="484"/>
      <c r="B61" s="485" t="s">
        <v>2711</v>
      </c>
      <c r="D61" s="1285" t="s">
        <v>1095</v>
      </c>
      <c r="E61" s="1285"/>
      <c r="F61" s="1285"/>
      <c r="I61" s="490"/>
    </row>
    <row r="62" spans="1:9">
      <c r="D62" s="1285"/>
      <c r="E62" s="1285"/>
      <c r="F62" s="1285"/>
      <c r="I62" s="490"/>
    </row>
    <row r="63" spans="1:9">
      <c r="D63" s="1285"/>
      <c r="E63" s="1285"/>
      <c r="F63" s="1285"/>
      <c r="I63" s="490"/>
    </row>
    <row r="64" spans="1:9">
      <c r="I64" s="490"/>
    </row>
    <row r="65" spans="1:9">
      <c r="A65" s="484"/>
      <c r="B65" s="485" t="s">
        <v>2712</v>
      </c>
      <c r="D65" s="1285" t="s">
        <v>1096</v>
      </c>
      <c r="E65" s="1285"/>
      <c r="F65" s="1285"/>
      <c r="I65" s="490"/>
    </row>
    <row r="66" spans="1:9">
      <c r="D66" s="1285"/>
      <c r="E66" s="1285"/>
      <c r="F66" s="1285"/>
      <c r="I66" s="490"/>
    </row>
    <row r="67" spans="1:9">
      <c r="I67" s="490"/>
    </row>
    <row r="68" spans="1:9">
      <c r="A68" s="484"/>
      <c r="B68" s="485" t="s">
        <v>2711</v>
      </c>
      <c r="D68" s="1285" t="s">
        <v>1097</v>
      </c>
      <c r="E68" s="1285"/>
      <c r="F68" s="1285"/>
      <c r="I68" s="490"/>
    </row>
    <row r="69" spans="1:9">
      <c r="D69" s="1285"/>
      <c r="E69" s="1285"/>
      <c r="F69" s="1285"/>
      <c r="I69" s="490"/>
    </row>
    <row r="70" spans="1:9">
      <c r="D70" s="1285"/>
      <c r="E70" s="1285"/>
      <c r="F70" s="1285"/>
      <c r="I70" s="490"/>
    </row>
    <row r="71" spans="1:9">
      <c r="I71" s="490"/>
    </row>
    <row r="72" spans="1:9">
      <c r="A72" s="484"/>
      <c r="B72" s="485" t="s">
        <v>2711</v>
      </c>
      <c r="D72" s="1285" t="s">
        <v>1098</v>
      </c>
      <c r="E72" s="1285"/>
      <c r="F72" s="1285"/>
      <c r="I72" s="490"/>
    </row>
    <row r="73" spans="1:9">
      <c r="D73" s="1285"/>
      <c r="E73" s="1285"/>
      <c r="F73" s="1285"/>
      <c r="I73" s="490"/>
    </row>
    <row r="74" spans="1:9">
      <c r="A74" s="484"/>
      <c r="B74" s="484"/>
      <c r="D74" s="446"/>
      <c r="I74" s="490"/>
    </row>
    <row r="75" spans="1:9">
      <c r="A75" s="1288" t="s">
        <v>1043</v>
      </c>
      <c r="B75" s="1288"/>
      <c r="C75" s="1288"/>
      <c r="D75" s="1288"/>
      <c r="E75" s="1288"/>
      <c r="F75" s="1288"/>
      <c r="G75" s="1288"/>
      <c r="H75" s="1028"/>
      <c r="I75" s="1153"/>
    </row>
    <row r="76" spans="1:9">
      <c r="I76" s="490"/>
    </row>
    <row r="77" spans="1:9">
      <c r="C77" s="486"/>
      <c r="D77" s="1287" t="s">
        <v>1101</v>
      </c>
      <c r="E77" s="1287"/>
      <c r="F77" s="1287"/>
      <c r="I77" s="490"/>
    </row>
    <row r="78" spans="1:9">
      <c r="A78" s="446"/>
      <c r="B78" s="446"/>
      <c r="D78" s="1285" t="s">
        <v>1116</v>
      </c>
      <c r="E78" s="1285"/>
      <c r="F78" s="1285"/>
      <c r="I78" s="490"/>
    </row>
    <row r="79" spans="1:9">
      <c r="A79" s="446"/>
      <c r="B79" s="446"/>
      <c r="I79" s="490"/>
    </row>
    <row r="80" spans="1:9" ht="13.75" customHeight="1">
      <c r="A80" s="484"/>
      <c r="B80" s="485" t="s">
        <v>2711</v>
      </c>
      <c r="D80" s="1285" t="s">
        <v>1244</v>
      </c>
      <c r="E80" s="1285"/>
      <c r="F80" s="1285"/>
      <c r="I80" s="490"/>
    </row>
    <row r="81" spans="1:9">
      <c r="A81" s="484"/>
      <c r="B81" s="484"/>
      <c r="D81" s="1285"/>
      <c r="E81" s="1285"/>
      <c r="F81" s="1285"/>
      <c r="I81" s="490"/>
    </row>
    <row r="82" spans="1:9">
      <c r="A82" s="484"/>
      <c r="B82" s="484"/>
      <c r="D82" s="1285"/>
      <c r="E82" s="1285"/>
      <c r="F82" s="1285"/>
      <c r="I82" s="490"/>
    </row>
    <row r="83" spans="1:9">
      <c r="A83" s="484"/>
      <c r="B83" s="484"/>
      <c r="D83" s="1285"/>
      <c r="E83" s="1285"/>
      <c r="F83" s="1285"/>
      <c r="I83" s="490"/>
    </row>
    <row r="84" spans="1:9">
      <c r="A84" s="484"/>
      <c r="B84" s="484"/>
      <c r="D84" s="1285"/>
      <c r="E84" s="1285"/>
      <c r="F84" s="1285"/>
      <c r="I84" s="490"/>
    </row>
    <row r="85" spans="1:9">
      <c r="A85" s="484"/>
      <c r="B85" s="484"/>
      <c r="D85" s="1285"/>
      <c r="E85" s="1285"/>
      <c r="F85" s="1285"/>
      <c r="I85" s="490"/>
    </row>
    <row r="86" spans="1:9">
      <c r="A86" s="484"/>
      <c r="B86" s="484"/>
      <c r="D86" s="1285"/>
      <c r="E86" s="1285"/>
      <c r="F86" s="1285"/>
      <c r="I86" s="490"/>
    </row>
    <row r="87" spans="1:9">
      <c r="A87" s="484"/>
      <c r="B87" s="484"/>
      <c r="D87" s="1285"/>
      <c r="E87" s="1285"/>
      <c r="F87" s="1285"/>
      <c r="I87" s="490"/>
    </row>
    <row r="88" spans="1:9">
      <c r="A88" s="484"/>
      <c r="B88" s="484"/>
      <c r="D88" s="385"/>
      <c r="E88" s="385"/>
      <c r="F88" s="385"/>
      <c r="I88" s="490"/>
    </row>
    <row r="89" spans="1:9" ht="15" customHeight="1">
      <c r="A89" s="484"/>
      <c r="B89" s="485" t="s">
        <v>2711</v>
      </c>
      <c r="D89" s="1285" t="s">
        <v>1740</v>
      </c>
      <c r="E89" s="1285"/>
      <c r="F89" s="1285"/>
      <c r="I89" s="490"/>
    </row>
    <row r="90" spans="1:9">
      <c r="A90" s="484"/>
      <c r="B90" s="484"/>
      <c r="D90" s="1285"/>
      <c r="E90" s="1285"/>
      <c r="F90" s="1285"/>
      <c r="I90" s="490"/>
    </row>
    <row r="91" spans="1:9">
      <c r="A91" s="484"/>
      <c r="B91" s="484"/>
      <c r="D91" s="445"/>
      <c r="E91" s="445"/>
      <c r="F91" s="445"/>
      <c r="I91" s="490"/>
    </row>
    <row r="92" spans="1:9">
      <c r="A92" s="484"/>
      <c r="B92" s="485" t="s">
        <v>2711</v>
      </c>
      <c r="D92" s="1285" t="s">
        <v>1743</v>
      </c>
      <c r="E92" s="1285"/>
      <c r="F92" s="1285"/>
      <c r="I92" s="490"/>
    </row>
    <row r="93" spans="1:9">
      <c r="A93" s="484"/>
      <c r="B93" s="484"/>
      <c r="D93" s="1285"/>
      <c r="E93" s="1285"/>
      <c r="F93" s="1285"/>
      <c r="I93" s="490"/>
    </row>
    <row r="94" spans="1:9">
      <c r="A94" s="484"/>
      <c r="B94" s="484"/>
      <c r="D94" s="1285"/>
      <c r="E94" s="1285"/>
      <c r="F94" s="1285"/>
      <c r="I94" s="490"/>
    </row>
    <row r="95" spans="1:9">
      <c r="A95" s="484"/>
      <c r="B95" s="484"/>
      <c r="D95" s="445"/>
      <c r="E95" s="445"/>
      <c r="F95" s="445"/>
      <c r="I95" s="490"/>
    </row>
    <row r="96" spans="1:9">
      <c r="A96" s="484"/>
      <c r="B96" s="485" t="s">
        <v>2711</v>
      </c>
      <c r="D96" s="1285" t="s">
        <v>1742</v>
      </c>
      <c r="E96" s="1285"/>
      <c r="F96" s="1285"/>
      <c r="I96" s="490"/>
    </row>
    <row r="97" spans="1:9" s="987" customFormat="1">
      <c r="A97" s="985"/>
      <c r="B97" s="985"/>
      <c r="C97" s="986"/>
      <c r="D97" s="1285"/>
      <c r="E97" s="1285"/>
      <c r="F97" s="1285"/>
      <c r="I97" s="1154"/>
    </row>
    <row r="98" spans="1:9">
      <c r="A98" s="484"/>
      <c r="B98" s="484"/>
      <c r="D98" s="392"/>
      <c r="E98" s="312" t="s">
        <v>1922</v>
      </c>
      <c r="F98" s="445"/>
      <c r="I98" s="490"/>
    </row>
    <row r="99" spans="1:9">
      <c r="A99" s="484"/>
      <c r="B99" s="484"/>
      <c r="D99" s="385"/>
      <c r="E99" s="385"/>
      <c r="F99" s="385"/>
      <c r="I99" s="490"/>
    </row>
    <row r="100" spans="1:9">
      <c r="A100" s="484"/>
      <c r="B100" s="485" t="s">
        <v>2712</v>
      </c>
      <c r="D100" s="1285" t="s">
        <v>1741</v>
      </c>
      <c r="E100" s="1285"/>
      <c r="F100" s="1285"/>
      <c r="I100" s="490"/>
    </row>
    <row r="101" spans="1:9">
      <c r="A101" s="484"/>
      <c r="B101" s="484"/>
      <c r="D101" s="1285"/>
      <c r="E101" s="1285"/>
      <c r="F101" s="1285"/>
      <c r="I101" s="490"/>
    </row>
    <row r="102" spans="1:9">
      <c r="A102" s="484"/>
      <c r="B102" s="484"/>
      <c r="D102" s="445"/>
      <c r="E102" s="445"/>
      <c r="F102" s="445"/>
      <c r="I102" s="490"/>
    </row>
    <row r="103" spans="1:9" ht="14.5" customHeight="1">
      <c r="A103" s="484"/>
      <c r="B103" s="485" t="s">
        <v>2712</v>
      </c>
      <c r="D103" s="1285" t="s">
        <v>1193</v>
      </c>
      <c r="E103" s="1285"/>
      <c r="F103" s="1285"/>
      <c r="I103" s="490"/>
    </row>
    <row r="104" spans="1:9">
      <c r="A104" s="484"/>
      <c r="B104" s="484"/>
      <c r="D104" s="1285"/>
      <c r="E104" s="1285"/>
      <c r="F104" s="1285"/>
      <c r="I104" s="490"/>
    </row>
    <row r="105" spans="1:9">
      <c r="A105" s="484"/>
      <c r="B105" s="484"/>
      <c r="D105" s="1285"/>
      <c r="E105" s="1285"/>
      <c r="F105" s="1285"/>
      <c r="I105" s="490"/>
    </row>
    <row r="106" spans="1:9">
      <c r="A106" s="484"/>
      <c r="B106" s="484"/>
      <c r="D106" s="1285"/>
      <c r="E106" s="1285"/>
      <c r="F106" s="1285"/>
      <c r="I106" s="490"/>
    </row>
    <row r="107" spans="1:9">
      <c r="A107" s="484"/>
      <c r="B107" s="484"/>
      <c r="D107" s="1285"/>
      <c r="E107" s="1285"/>
      <c r="F107" s="1285"/>
      <c r="I107" s="490"/>
    </row>
    <row r="108" spans="1:9">
      <c r="A108" s="484"/>
      <c r="B108" s="484"/>
      <c r="D108" s="1285"/>
      <c r="E108" s="1285"/>
      <c r="F108" s="1285"/>
      <c r="I108" s="490"/>
    </row>
    <row r="109" spans="1:9">
      <c r="A109" s="484"/>
      <c r="B109" s="484"/>
      <c r="D109" s="1285"/>
      <c r="E109" s="1285"/>
      <c r="F109" s="1285"/>
      <c r="I109" s="490"/>
    </row>
    <row r="110" spans="1:9">
      <c r="A110" s="484"/>
      <c r="B110" s="484"/>
      <c r="D110" s="1285"/>
      <c r="E110" s="1285"/>
      <c r="F110" s="1285"/>
      <c r="I110" s="490"/>
    </row>
    <row r="111" spans="1:9">
      <c r="A111" s="484"/>
      <c r="B111" s="484"/>
      <c r="D111" s="1285"/>
      <c r="E111" s="1285"/>
      <c r="F111" s="1285"/>
      <c r="I111" s="490"/>
    </row>
    <row r="112" spans="1:9">
      <c r="A112" s="484"/>
      <c r="B112" s="484"/>
      <c r="D112" s="1285"/>
      <c r="E112" s="1285"/>
      <c r="F112" s="1285"/>
      <c r="I112" s="490"/>
    </row>
    <row r="113" spans="1:9">
      <c r="A113" s="484"/>
      <c r="B113" s="484"/>
      <c r="D113" s="1285"/>
      <c r="E113" s="1285"/>
      <c r="F113" s="1285"/>
      <c r="I113" s="490"/>
    </row>
    <row r="114" spans="1:9">
      <c r="A114" s="484"/>
      <c r="B114" s="484"/>
      <c r="D114" s="1285"/>
      <c r="E114" s="1285"/>
      <c r="F114" s="1285"/>
      <c r="I114" s="490"/>
    </row>
    <row r="115" spans="1:9">
      <c r="A115" s="484"/>
      <c r="B115" s="484"/>
      <c r="D115" s="1285"/>
      <c r="E115" s="1285"/>
      <c r="F115" s="1285"/>
      <c r="I115" s="490"/>
    </row>
    <row r="116" spans="1:9">
      <c r="A116" s="484"/>
      <c r="B116" s="484"/>
      <c r="D116" s="1285"/>
      <c r="E116" s="1285"/>
      <c r="F116" s="1285"/>
      <c r="I116" s="490"/>
    </row>
    <row r="117" spans="1:9">
      <c r="A117" s="484"/>
      <c r="B117" s="484"/>
      <c r="D117" s="1285"/>
      <c r="E117" s="1285"/>
      <c r="F117" s="1285"/>
      <c r="I117" s="490"/>
    </row>
    <row r="118" spans="1:9">
      <c r="A118" s="484"/>
      <c r="B118" s="484"/>
      <c r="D118" s="524"/>
      <c r="E118" s="524"/>
      <c r="F118" s="524"/>
      <c r="I118" s="490"/>
    </row>
    <row r="119" spans="1:9" ht="14.25" customHeight="1">
      <c r="A119" s="484"/>
      <c r="B119" s="485" t="s">
        <v>2712</v>
      </c>
      <c r="D119" s="1305" t="s">
        <v>1102</v>
      </c>
      <c r="E119" s="1305"/>
      <c r="F119" s="1305"/>
      <c r="I119" s="490"/>
    </row>
    <row r="120" spans="1:9">
      <c r="A120" s="484"/>
      <c r="B120" s="484"/>
      <c r="D120" s="1305"/>
      <c r="E120" s="1305"/>
      <c r="F120" s="1305"/>
      <c r="I120" s="490"/>
    </row>
    <row r="121" spans="1:9">
      <c r="A121" s="484"/>
      <c r="B121" s="484"/>
      <c r="D121" s="1305"/>
      <c r="E121" s="1305"/>
      <c r="F121" s="1305"/>
      <c r="I121" s="490"/>
    </row>
    <row r="122" spans="1:9">
      <c r="A122" s="484"/>
      <c r="B122" s="484"/>
      <c r="D122" s="1305"/>
      <c r="E122" s="1305"/>
      <c r="F122" s="1305"/>
      <c r="I122" s="490"/>
    </row>
    <row r="123" spans="1:9">
      <c r="A123" s="484"/>
      <c r="B123" s="484"/>
      <c r="D123" s="1305"/>
      <c r="E123" s="1305"/>
      <c r="F123" s="1305"/>
      <c r="I123" s="490"/>
    </row>
    <row r="124" spans="1:9">
      <c r="A124" s="484"/>
      <c r="B124" s="484"/>
      <c r="D124" s="1305"/>
      <c r="E124" s="1305"/>
      <c r="F124" s="1305"/>
      <c r="I124" s="490"/>
    </row>
    <row r="125" spans="1:9">
      <c r="A125" s="484"/>
      <c r="B125" s="484"/>
      <c r="D125" s="1305"/>
      <c r="E125" s="1305"/>
      <c r="F125" s="1305"/>
      <c r="I125" s="490"/>
    </row>
    <row r="126" spans="1:9">
      <c r="A126" s="484"/>
      <c r="B126" s="484"/>
      <c r="D126" s="1305"/>
      <c r="E126" s="1305"/>
      <c r="F126" s="1305"/>
      <c r="I126" s="490"/>
    </row>
    <row r="127" spans="1:9">
      <c r="C127" s="402"/>
      <c r="D127" s="525"/>
      <c r="E127" s="525"/>
      <c r="F127" s="525"/>
      <c r="I127" s="490"/>
    </row>
    <row r="128" spans="1:9">
      <c r="A128" s="484"/>
      <c r="B128" s="485" t="s">
        <v>2711</v>
      </c>
      <c r="C128" s="402"/>
      <c r="D128" s="1305" t="s">
        <v>2048</v>
      </c>
      <c r="E128" s="1305"/>
      <c r="F128" s="1305"/>
      <c r="I128" s="490"/>
    </row>
    <row r="129" spans="1:9">
      <c r="A129" s="484"/>
      <c r="B129" s="484"/>
      <c r="C129" s="402"/>
      <c r="D129" s="1305"/>
      <c r="E129" s="1305"/>
      <c r="F129" s="1305"/>
      <c r="I129" s="490"/>
    </row>
    <row r="130" spans="1:9">
      <c r="I130" s="490"/>
    </row>
    <row r="131" spans="1:9">
      <c r="A131" s="484"/>
      <c r="B131" s="485" t="s">
        <v>2711</v>
      </c>
      <c r="D131" s="1285" t="s">
        <v>1103</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c r="A137" s="484"/>
      <c r="B137" s="485" t="s">
        <v>2711</v>
      </c>
      <c r="D137" s="1285" t="s">
        <v>1104</v>
      </c>
      <c r="E137" s="1285"/>
      <c r="F137" s="1285"/>
      <c r="I137" s="490"/>
    </row>
    <row r="138" spans="1:9" s="417" customFormat="1" ht="13.75" customHeight="1">
      <c r="A138" s="488"/>
      <c r="B138" s="488"/>
      <c r="C138" s="488"/>
      <c r="D138" s="1285"/>
      <c r="E138" s="1285"/>
      <c r="F138" s="1285"/>
      <c r="I138" s="1155"/>
    </row>
    <row r="139" spans="1:9" ht="13.75" customHeight="1">
      <c r="D139" s="1285"/>
      <c r="E139" s="1285"/>
      <c r="F139" s="1285"/>
      <c r="I139" s="490"/>
    </row>
    <row r="140" spans="1:9" ht="13.75" customHeight="1">
      <c r="D140" s="1285"/>
      <c r="E140" s="1285"/>
      <c r="F140" s="1285"/>
      <c r="I140" s="490"/>
    </row>
    <row r="141" spans="1:9" ht="13.75" customHeight="1">
      <c r="D141" s="1285"/>
      <c r="E141" s="1285"/>
      <c r="F141" s="1285"/>
      <c r="I141" s="490"/>
    </row>
    <row r="142" spans="1:9" ht="13.75" customHeight="1">
      <c r="A142" s="489"/>
      <c r="B142" s="489"/>
      <c r="D142" s="1285"/>
      <c r="E142" s="1285"/>
      <c r="F142" s="1285"/>
      <c r="I142" s="490"/>
    </row>
    <row r="143" spans="1:9" ht="13.75" customHeight="1">
      <c r="D143" s="1285"/>
      <c r="E143" s="1285"/>
      <c r="F143" s="1285"/>
      <c r="I143" s="490"/>
    </row>
    <row r="144" spans="1:9" ht="13.75" customHeight="1">
      <c r="D144" s="1285"/>
      <c r="E144" s="1285"/>
      <c r="F144" s="1285"/>
      <c r="I144" s="490"/>
    </row>
    <row r="145" spans="2:9" ht="13.75" customHeight="1">
      <c r="D145" s="1285"/>
      <c r="E145" s="1285"/>
      <c r="F145" s="1285"/>
      <c r="I145" s="490"/>
    </row>
    <row r="146" spans="2:9" ht="13.75" customHeight="1">
      <c r="D146" s="1285"/>
      <c r="E146" s="1285"/>
      <c r="F146" s="1285"/>
      <c r="I146" s="490"/>
    </row>
    <row r="147" spans="2:9" ht="13.75" customHeight="1">
      <c r="D147" s="1285"/>
      <c r="E147" s="1285"/>
      <c r="F147" s="1285"/>
      <c r="I147" s="490"/>
    </row>
    <row r="148" spans="2:9" ht="13.75" customHeight="1">
      <c r="D148" s="1285"/>
      <c r="E148" s="1285"/>
      <c r="F148" s="1285"/>
      <c r="I148" s="490"/>
    </row>
    <row r="149" spans="2:9" ht="13.75" customHeight="1">
      <c r="D149" s="1285"/>
      <c r="E149" s="1285"/>
      <c r="F149" s="1285"/>
      <c r="I149" s="490"/>
    </row>
    <row r="150" spans="2:9" ht="13.75" customHeight="1">
      <c r="D150" s="476"/>
      <c r="E150" s="446"/>
      <c r="F150" s="446"/>
      <c r="I150" s="490"/>
    </row>
    <row r="151" spans="2:9" ht="13.75" customHeight="1">
      <c r="B151" s="485" t="s">
        <v>2712</v>
      </c>
      <c r="D151" s="1285" t="s">
        <v>1176</v>
      </c>
      <c r="E151" s="1285"/>
      <c r="F151" s="1285"/>
      <c r="I151" s="490"/>
    </row>
    <row r="152" spans="2:9" ht="13.75" customHeight="1">
      <c r="D152" s="1285"/>
      <c r="E152" s="1285"/>
      <c r="F152" s="1285"/>
      <c r="I152" s="490"/>
    </row>
    <row r="153" spans="2:9" ht="13.75" customHeight="1">
      <c r="D153" s="1285"/>
      <c r="E153" s="1285"/>
      <c r="F153" s="1285"/>
      <c r="I153" s="490"/>
    </row>
    <row r="154" spans="2:9" ht="13.75" customHeight="1">
      <c r="D154" s="1285"/>
      <c r="E154" s="1285"/>
      <c r="F154" s="1285"/>
      <c r="I154" s="490"/>
    </row>
    <row r="155" spans="2:9" ht="13.75" customHeight="1">
      <c r="D155" s="1285"/>
      <c r="E155" s="1285"/>
      <c r="F155" s="1285"/>
      <c r="I155" s="490"/>
    </row>
    <row r="156" spans="2:9" ht="13.75" customHeight="1">
      <c r="D156" s="1285"/>
      <c r="E156" s="1285"/>
      <c r="F156" s="1285"/>
      <c r="I156" s="490"/>
    </row>
    <row r="157" spans="2:9" ht="13.75" customHeight="1">
      <c r="D157" s="1285"/>
      <c r="E157" s="1285"/>
      <c r="F157" s="1285"/>
      <c r="I157" s="490"/>
    </row>
    <row r="158" spans="2:9" ht="13.75" customHeight="1">
      <c r="D158" s="1285"/>
      <c r="E158" s="1285"/>
      <c r="F158" s="1285"/>
      <c r="I158" s="490"/>
    </row>
    <row r="159" spans="2:9" ht="13.75" customHeight="1">
      <c r="D159" s="1285"/>
      <c r="E159" s="1285"/>
      <c r="F159" s="1285"/>
      <c r="I159" s="490"/>
    </row>
    <row r="160" spans="2:9" ht="13.75" customHeight="1">
      <c r="D160" s="1285"/>
      <c r="E160" s="1285"/>
      <c r="F160" s="1285"/>
      <c r="I160" s="490"/>
    </row>
    <row r="161" spans="1:9" ht="13.75" customHeight="1">
      <c r="D161" s="1285"/>
      <c r="E161" s="1285"/>
      <c r="F161" s="1285"/>
      <c r="I161" s="490"/>
    </row>
    <row r="162" spans="1:9" ht="13.75" customHeight="1">
      <c r="D162" s="1285"/>
      <c r="E162" s="1285"/>
      <c r="F162" s="1285"/>
      <c r="I162" s="490"/>
    </row>
    <row r="163" spans="1:9" ht="13.75" customHeight="1">
      <c r="D163" s="1285"/>
      <c r="E163" s="1285"/>
      <c r="F163" s="1285"/>
      <c r="I163" s="490"/>
    </row>
    <row r="164" spans="1:9" ht="13.75" customHeight="1">
      <c r="D164" s="1285"/>
      <c r="E164" s="1285"/>
      <c r="F164" s="1285"/>
      <c r="I164" s="490"/>
    </row>
    <row r="165" spans="1:9" ht="13.75" customHeight="1">
      <c r="D165" s="1285"/>
      <c r="E165" s="1285"/>
      <c r="F165" s="1285"/>
      <c r="I165" s="490"/>
    </row>
    <row r="166" spans="1:9" ht="13.75" customHeight="1">
      <c r="D166" s="1285"/>
      <c r="E166" s="1285"/>
      <c r="F166" s="1285"/>
      <c r="I166" s="490"/>
    </row>
    <row r="167" spans="1:9" ht="13.75" customHeight="1">
      <c r="D167" s="1285"/>
      <c r="E167" s="1285"/>
      <c r="F167" s="1285"/>
      <c r="I167" s="490"/>
    </row>
    <row r="168" spans="1:9" ht="13.75" customHeight="1">
      <c r="D168" s="1285"/>
      <c r="E168" s="1285"/>
      <c r="F168" s="1285"/>
      <c r="I168" s="490"/>
    </row>
    <row r="169" spans="1:9" ht="13.75" customHeight="1">
      <c r="D169" s="1306" t="s">
        <v>2071</v>
      </c>
      <c r="E169" s="1306"/>
      <c r="F169" s="1306"/>
      <c r="G169" s="507"/>
      <c r="I169" s="490"/>
    </row>
    <row r="170" spans="1:9" ht="13.75" customHeight="1">
      <c r="D170" s="1297"/>
      <c r="E170" s="1297"/>
      <c r="F170" s="1297"/>
      <c r="G170" s="1297"/>
      <c r="I170" s="490"/>
    </row>
    <row r="171" spans="1:9" ht="14.5" customHeight="1">
      <c r="A171" s="489"/>
      <c r="B171" s="485" t="s">
        <v>2712</v>
      </c>
      <c r="C171" s="476"/>
      <c r="D171" s="1265" t="s">
        <v>2211</v>
      </c>
      <c r="E171" s="1265"/>
      <c r="F171" s="1265"/>
      <c r="G171" s="476"/>
      <c r="I171" s="490"/>
    </row>
    <row r="172" spans="1:9" ht="14.5" customHeight="1">
      <c r="A172" s="489"/>
      <c r="B172" s="489"/>
      <c r="C172" s="476"/>
      <c r="D172" s="1265"/>
      <c r="E172" s="1265"/>
      <c r="F172" s="1265"/>
      <c r="G172" s="476"/>
      <c r="I172" s="490"/>
    </row>
    <row r="173" spans="1:9" ht="14.5" customHeight="1">
      <c r="A173" s="489"/>
      <c r="B173" s="489"/>
      <c r="C173" s="476"/>
      <c r="D173" s="1265"/>
      <c r="E173" s="1265"/>
      <c r="F173" s="1265"/>
      <c r="G173" s="476"/>
      <c r="I173" s="490"/>
    </row>
    <row r="174" spans="1:9" ht="14.5" customHeight="1">
      <c r="A174" s="489"/>
      <c r="B174" s="489"/>
      <c r="C174" s="476"/>
      <c r="D174" s="1265"/>
      <c r="E174" s="1265"/>
      <c r="F174" s="1265"/>
      <c r="G174" s="476"/>
      <c r="I174" s="490"/>
    </row>
    <row r="175" spans="1:9" ht="13.75" customHeight="1">
      <c r="A175" s="489"/>
      <c r="B175" s="489"/>
      <c r="C175" s="476"/>
      <c r="D175" s="1265"/>
      <c r="E175" s="1265"/>
      <c r="F175" s="1265"/>
      <c r="G175" s="476"/>
      <c r="I175" s="490"/>
    </row>
    <row r="176" spans="1:9" ht="13.75" customHeight="1">
      <c r="A176" s="489"/>
      <c r="B176" s="489"/>
      <c r="C176" s="476"/>
      <c r="D176" s="476"/>
      <c r="E176" s="476"/>
      <c r="F176" s="476"/>
      <c r="G176" s="476"/>
      <c r="I176" s="490"/>
    </row>
    <row r="177" spans="1:9" ht="13.75" customHeight="1">
      <c r="A177" s="489"/>
      <c r="B177" s="485" t="s">
        <v>2712</v>
      </c>
      <c r="C177" s="476"/>
      <c r="D177" s="1265" t="s">
        <v>1105</v>
      </c>
      <c r="E177" s="1265"/>
      <c r="F177" s="1265"/>
      <c r="G177" s="476"/>
      <c r="I177" s="490"/>
    </row>
    <row r="178" spans="1:9" ht="13.75" customHeight="1">
      <c r="A178" s="489"/>
      <c r="B178" s="489"/>
      <c r="C178" s="476"/>
      <c r="D178" s="1265"/>
      <c r="E178" s="1265"/>
      <c r="F178" s="1265"/>
      <c r="G178" s="476"/>
      <c r="I178" s="490"/>
    </row>
    <row r="179" spans="1:9" ht="13.75" customHeight="1">
      <c r="A179" s="489"/>
      <c r="B179" s="489"/>
      <c r="C179" s="476"/>
      <c r="D179" s="1265"/>
      <c r="E179" s="1265"/>
      <c r="F179" s="1265"/>
      <c r="G179" s="476"/>
      <c r="I179" s="490"/>
    </row>
    <row r="180" spans="1:9" ht="13.75" customHeight="1">
      <c r="A180" s="489"/>
      <c r="B180" s="489"/>
      <c r="C180" s="476"/>
      <c r="D180" s="1265"/>
      <c r="E180" s="1265"/>
      <c r="F180" s="1265"/>
      <c r="G180" s="476"/>
      <c r="I180" s="490"/>
    </row>
    <row r="181" spans="1:9" ht="13.75" customHeight="1">
      <c r="D181" s="446"/>
      <c r="E181" s="446"/>
      <c r="F181" s="446"/>
      <c r="I181" s="490"/>
    </row>
    <row r="182" spans="1:9" ht="13.75" customHeight="1">
      <c r="B182" s="485" t="s">
        <v>2712</v>
      </c>
      <c r="D182" s="1289" t="s">
        <v>2049</v>
      </c>
      <c r="E182" s="1289"/>
      <c r="F182" s="1289"/>
      <c r="I182" s="490"/>
    </row>
    <row r="183" spans="1:9" ht="13.75" customHeight="1">
      <c r="D183" s="1289"/>
      <c r="E183" s="1289"/>
      <c r="F183" s="1289"/>
      <c r="I183" s="490"/>
    </row>
    <row r="184" spans="1:9" ht="13.75" customHeight="1">
      <c r="D184" s="1289"/>
      <c r="E184" s="1289"/>
      <c r="F184" s="1289"/>
      <c r="I184" s="490"/>
    </row>
    <row r="185" spans="1:9" ht="13.75" customHeight="1">
      <c r="A185" s="490"/>
      <c r="B185" s="490"/>
      <c r="E185" s="446"/>
      <c r="F185" s="446"/>
      <c r="I185" s="490"/>
    </row>
    <row r="186" spans="1:9">
      <c r="A186" s="1288" t="s">
        <v>2050</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1873</v>
      </c>
      <c r="C189" s="392"/>
      <c r="D189" s="392"/>
      <c r="E189" s="392"/>
      <c r="F189" s="392"/>
      <c r="I189" s="490"/>
    </row>
    <row r="190" spans="1:9" ht="12" customHeight="1">
      <c r="A190" s="482"/>
      <c r="B190" s="482"/>
      <c r="C190" s="482"/>
      <c r="I190" s="490"/>
    </row>
    <row r="191" spans="1:9">
      <c r="A191" s="1288" t="s">
        <v>1044</v>
      </c>
      <c r="B191" s="1288"/>
      <c r="C191" s="1288"/>
      <c r="D191" s="1288"/>
      <c r="E191" s="1288"/>
      <c r="F191" s="1288"/>
      <c r="G191" s="1288"/>
      <c r="H191" s="1028"/>
      <c r="I191" s="1153"/>
    </row>
    <row r="192" spans="1:9" ht="12" customHeight="1">
      <c r="A192" s="404"/>
      <c r="B192" s="404"/>
      <c r="E192" s="404"/>
      <c r="I192" s="490"/>
    </row>
    <row r="193" spans="1:9" ht="13.75" customHeight="1">
      <c r="A193" s="404"/>
      <c r="B193" s="404"/>
      <c r="D193" s="1287" t="s">
        <v>1744</v>
      </c>
      <c r="E193" s="1287"/>
      <c r="F193" s="1287"/>
      <c r="I193" s="490"/>
    </row>
    <row r="194" spans="1:9">
      <c r="A194" s="404"/>
      <c r="B194" s="404"/>
      <c r="D194" s="1287"/>
      <c r="E194" s="1287"/>
      <c r="F194" s="1287"/>
      <c r="I194" s="490"/>
    </row>
    <row r="195" spans="1:9">
      <c r="A195" s="404"/>
      <c r="B195" s="404"/>
      <c r="D195" s="1291" t="s">
        <v>1194</v>
      </c>
      <c r="E195" s="1291"/>
      <c r="F195" s="1291"/>
      <c r="I195" s="490"/>
    </row>
    <row r="196" spans="1:9">
      <c r="A196" s="404"/>
      <c r="B196" s="404"/>
      <c r="D196" s="392"/>
      <c r="E196" s="392"/>
      <c r="F196" s="392"/>
      <c r="I196" s="490"/>
    </row>
    <row r="197" spans="1:9">
      <c r="A197" s="404"/>
      <c r="B197" s="485" t="s">
        <v>2711</v>
      </c>
      <c r="D197" s="1302" t="s">
        <v>1745</v>
      </c>
      <c r="E197" s="1302"/>
      <c r="F197" s="1302"/>
      <c r="I197" s="490"/>
    </row>
    <row r="198" spans="1:9">
      <c r="A198" s="404"/>
      <c r="B198" s="404"/>
      <c r="D198" s="1303" t="s">
        <v>1900</v>
      </c>
      <c r="E198" s="1303"/>
      <c r="F198" s="1303"/>
      <c r="I198" s="490"/>
    </row>
    <row r="199" spans="1:9">
      <c r="A199" s="404"/>
      <c r="B199" s="404"/>
      <c r="D199" s="96" t="s">
        <v>1746</v>
      </c>
      <c r="E199" s="1304" t="s">
        <v>1923</v>
      </c>
      <c r="F199" s="1304"/>
      <c r="I199" s="490"/>
    </row>
    <row r="200" spans="1:9">
      <c r="A200" s="404"/>
      <c r="B200" s="404"/>
      <c r="D200" s="3"/>
      <c r="E200" s="3"/>
      <c r="F200" s="3"/>
      <c r="I200" s="490"/>
    </row>
    <row r="201" spans="1:9">
      <c r="A201" s="404"/>
      <c r="B201" s="485" t="s">
        <v>2712</v>
      </c>
      <c r="D201" s="1303" t="s">
        <v>1747</v>
      </c>
      <c r="E201" s="1303"/>
      <c r="F201" s="1303"/>
      <c r="I201" s="490"/>
    </row>
    <row r="202" spans="1:9">
      <c r="A202" s="404"/>
      <c r="B202" s="404"/>
      <c r="D202" s="1302" t="s">
        <v>1900</v>
      </c>
      <c r="E202" s="1302"/>
      <c r="F202" s="1302"/>
      <c r="I202" s="490"/>
    </row>
    <row r="203" spans="1:9">
      <c r="A203" s="404"/>
      <c r="B203" s="404"/>
      <c r="D203" s="57" t="s">
        <v>1748</v>
      </c>
      <c r="E203" s="1304" t="s">
        <v>1924</v>
      </c>
      <c r="F203" s="1304"/>
      <c r="I203" s="490"/>
    </row>
    <row r="204" spans="1:9">
      <c r="A204" s="404"/>
      <c r="B204" s="404"/>
      <c r="D204" s="3"/>
      <c r="E204" s="3"/>
      <c r="F204" s="3"/>
      <c r="I204" s="490"/>
    </row>
    <row r="205" spans="1:9">
      <c r="A205" s="404"/>
      <c r="B205" s="485" t="s">
        <v>2712</v>
      </c>
      <c r="D205" s="1303" t="s">
        <v>1749</v>
      </c>
      <c r="E205" s="1303"/>
      <c r="F205" s="1303"/>
      <c r="I205" s="490"/>
    </row>
    <row r="206" spans="1:9">
      <c r="A206" s="404"/>
      <c r="B206" s="404"/>
      <c r="D206" s="1302" t="s">
        <v>1900</v>
      </c>
      <c r="E206" s="1302"/>
      <c r="F206" s="1302"/>
      <c r="I206" s="490"/>
    </row>
    <row r="207" spans="1:9">
      <c r="A207" s="404"/>
      <c r="B207" s="404"/>
      <c r="D207" s="57" t="s">
        <v>1746</v>
      </c>
      <c r="E207" s="1304" t="s">
        <v>1925</v>
      </c>
      <c r="F207" s="1304"/>
      <c r="I207" s="490"/>
    </row>
    <row r="208" spans="1:9">
      <c r="A208" s="404"/>
      <c r="B208" s="404"/>
      <c r="D208" s="392"/>
      <c r="E208" s="392"/>
      <c r="F208" s="392"/>
      <c r="I208" s="490"/>
    </row>
    <row r="209" spans="1:9" ht="14.25" customHeight="1">
      <c r="A209" s="484"/>
      <c r="B209" s="485" t="s">
        <v>2712</v>
      </c>
      <c r="D209" s="386" t="s">
        <v>1893</v>
      </c>
      <c r="E209" s="385"/>
      <c r="F209" s="385"/>
      <c r="I209" s="490"/>
    </row>
    <row r="210" spans="1:9">
      <c r="A210" s="484"/>
      <c r="B210" s="484"/>
      <c r="D210" s="1302" t="s">
        <v>1900</v>
      </c>
      <c r="E210" s="1302"/>
      <c r="F210" s="1302"/>
      <c r="I210" s="490"/>
    </row>
    <row r="211" spans="1:9">
      <c r="D211" s="385"/>
      <c r="E211" s="1304" t="s">
        <v>1926</v>
      </c>
      <c r="F211" s="1304"/>
      <c r="I211" s="490"/>
    </row>
    <row r="212" spans="1:9">
      <c r="D212" s="447"/>
      <c r="I212" s="490"/>
    </row>
    <row r="213" spans="1:9">
      <c r="B213" s="485" t="s">
        <v>2712</v>
      </c>
      <c r="D213" s="1303" t="s">
        <v>1750</v>
      </c>
      <c r="E213" s="1303"/>
      <c r="F213" s="1303"/>
      <c r="I213" s="490"/>
    </row>
    <row r="214" spans="1:9">
      <c r="D214" s="1302" t="s">
        <v>1900</v>
      </c>
      <c r="E214" s="1302"/>
      <c r="F214" s="1302"/>
      <c r="I214" s="490"/>
    </row>
    <row r="215" spans="1:9">
      <c r="D215" s="57" t="s">
        <v>1746</v>
      </c>
      <c r="E215" s="1304" t="s">
        <v>1927</v>
      </c>
      <c r="F215" s="1304"/>
      <c r="I215" s="490"/>
    </row>
    <row r="216" spans="1:9">
      <c r="D216" s="451"/>
      <c r="E216" s="451"/>
      <c r="F216" s="451"/>
      <c r="I216" s="490"/>
    </row>
    <row r="217" spans="1:9">
      <c r="A217" s="484"/>
      <c r="B217" s="485" t="s">
        <v>2712</v>
      </c>
      <c r="D217" s="1285" t="s">
        <v>1215</v>
      </c>
      <c r="E217" s="1285"/>
      <c r="F217" s="1285"/>
      <c r="I217" s="490"/>
    </row>
    <row r="218" spans="1:9" ht="14.5" customHeight="1">
      <c r="A218" s="484"/>
      <c r="B218" s="402"/>
      <c r="D218" s="1285"/>
      <c r="E218" s="1285"/>
      <c r="F218" s="1285"/>
      <c r="I218" s="490"/>
    </row>
    <row r="219" spans="1:9">
      <c r="A219" s="484"/>
      <c r="D219" s="1285"/>
      <c r="E219" s="1285"/>
      <c r="F219" s="1285"/>
      <c r="I219" s="490"/>
    </row>
    <row r="220" spans="1:9">
      <c r="A220" s="484"/>
      <c r="D220" s="1285"/>
      <c r="E220" s="1285"/>
      <c r="F220" s="1285"/>
      <c r="I220" s="490"/>
    </row>
    <row r="221" spans="1:9">
      <c r="D221" s="451"/>
      <c r="E221" s="451"/>
      <c r="F221" s="451"/>
      <c r="I221" s="490"/>
    </row>
    <row r="222" spans="1:9">
      <c r="A222" s="1288" t="s">
        <v>1045</v>
      </c>
      <c r="B222" s="1288"/>
      <c r="C222" s="1288"/>
      <c r="D222" s="1288"/>
      <c r="E222" s="1288"/>
      <c r="F222" s="1288"/>
      <c r="G222" s="1288"/>
      <c r="H222" s="1028"/>
      <c r="I222" s="1153"/>
    </row>
    <row r="223" spans="1:9" ht="12" customHeight="1">
      <c r="D223" s="446"/>
      <c r="E223" s="446"/>
      <c r="F223" s="446"/>
      <c r="I223" s="490"/>
    </row>
    <row r="224" spans="1:9">
      <c r="C224" s="486"/>
      <c r="D224" s="1293" t="s">
        <v>208</v>
      </c>
      <c r="E224" s="1293"/>
      <c r="F224" s="1293"/>
      <c r="I224" s="490"/>
    </row>
    <row r="225" spans="1:9">
      <c r="A225" s="482"/>
      <c r="B225" s="482"/>
      <c r="C225" s="482"/>
      <c r="D225" s="1286" t="s">
        <v>1119</v>
      </c>
      <c r="E225" s="1286"/>
      <c r="F225" s="1286"/>
      <c r="I225" s="490"/>
    </row>
    <row r="226" spans="1:9" ht="12" customHeight="1">
      <c r="A226" s="490"/>
      <c r="B226" s="490"/>
      <c r="C226" s="490"/>
      <c r="I226" s="490"/>
    </row>
    <row r="227" spans="1:9" ht="13.75" customHeight="1">
      <c r="A227" s="490"/>
      <c r="C227" s="490"/>
      <c r="D227" s="1293" t="s">
        <v>546</v>
      </c>
      <c r="E227" s="1293"/>
      <c r="F227" s="1293"/>
      <c r="I227" s="490"/>
    </row>
    <row r="228" spans="1:9">
      <c r="A228" s="484"/>
      <c r="B228" s="485" t="s">
        <v>2711</v>
      </c>
      <c r="D228" s="1285" t="s">
        <v>1751</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c r="A231" s="484"/>
      <c r="B231" s="484"/>
      <c r="D231" s="1285"/>
      <c r="E231" s="1285"/>
      <c r="F231" s="1285"/>
      <c r="I231" s="490"/>
    </row>
    <row r="232" spans="1:9">
      <c r="A232" s="484"/>
      <c r="B232" s="484"/>
      <c r="D232" s="445"/>
      <c r="E232" s="445"/>
      <c r="F232" s="445"/>
      <c r="I232" s="490"/>
    </row>
    <row r="233" spans="1:9">
      <c r="A233" s="484"/>
      <c r="B233" s="485" t="s">
        <v>2711</v>
      </c>
      <c r="D233" s="1285" t="s">
        <v>1752</v>
      </c>
      <c r="E233" s="1285"/>
      <c r="F233" s="1285"/>
      <c r="I233" s="490"/>
    </row>
    <row r="234" spans="1:9">
      <c r="A234" s="484"/>
      <c r="B234" s="484"/>
      <c r="D234" s="1285"/>
      <c r="E234" s="1285"/>
      <c r="F234" s="1285"/>
      <c r="I234" s="490"/>
    </row>
    <row r="235" spans="1:9">
      <c r="A235" s="484"/>
      <c r="B235" s="484"/>
      <c r="D235" s="1285"/>
      <c r="E235" s="1285"/>
      <c r="F235" s="1285"/>
      <c r="I235" s="490"/>
    </row>
    <row r="236" spans="1:9">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c r="A239" s="484"/>
      <c r="B239" s="484"/>
      <c r="D239" s="1285" t="s">
        <v>1117</v>
      </c>
      <c r="E239" s="1285"/>
      <c r="F239" s="1285"/>
      <c r="I239" s="490"/>
    </row>
    <row r="240" spans="1:9">
      <c r="A240" s="484"/>
      <c r="B240" s="484"/>
      <c r="D240" s="1285"/>
      <c r="E240" s="1285"/>
      <c r="F240" s="1285"/>
      <c r="I240" s="490"/>
    </row>
    <row r="241" spans="1:9">
      <c r="A241" s="484"/>
      <c r="B241" s="484"/>
      <c r="D241" s="1285"/>
      <c r="E241" s="1285"/>
      <c r="F241" s="1285"/>
      <c r="I241" s="490"/>
    </row>
    <row r="242" spans="1:9">
      <c r="A242" s="484"/>
      <c r="B242" s="484"/>
      <c r="D242" s="1285"/>
      <c r="E242" s="1285"/>
      <c r="F242" s="1285"/>
      <c r="I242" s="490"/>
    </row>
    <row r="243" spans="1:9">
      <c r="A243" s="484"/>
      <c r="B243" s="484"/>
      <c r="D243" s="1285"/>
      <c r="E243" s="1285"/>
      <c r="F243" s="1285"/>
      <c r="I243" s="490"/>
    </row>
    <row r="244" spans="1:9">
      <c r="A244" s="484"/>
      <c r="B244" s="484"/>
      <c r="D244" s="446"/>
      <c r="E244" s="446"/>
      <c r="F244" s="446"/>
      <c r="I244" s="490"/>
    </row>
    <row r="245" spans="1:9">
      <c r="A245" s="484"/>
      <c r="B245" s="485" t="s">
        <v>2711</v>
      </c>
      <c r="D245" s="1285" t="s">
        <v>2051</v>
      </c>
      <c r="E245" s="1285"/>
      <c r="F245" s="1285"/>
      <c r="I245" s="490"/>
    </row>
    <row r="246" spans="1:9">
      <c r="A246" s="484"/>
      <c r="B246" s="484"/>
      <c r="D246" s="1285"/>
      <c r="E246" s="1285"/>
      <c r="F246" s="1285"/>
      <c r="I246" s="490"/>
    </row>
    <row r="247" spans="1:9">
      <c r="A247" s="484"/>
      <c r="B247" s="484"/>
      <c r="D247" s="1285"/>
      <c r="E247" s="1285"/>
      <c r="F247" s="1285"/>
      <c r="I247" s="490"/>
    </row>
    <row r="248" spans="1:9">
      <c r="A248" s="484"/>
      <c r="B248" s="484"/>
      <c r="E248" s="1036" t="s">
        <v>1894</v>
      </c>
      <c r="I248" s="490"/>
    </row>
    <row r="249" spans="1:9">
      <c r="A249" s="484"/>
      <c r="B249" s="484"/>
      <c r="D249" s="446"/>
      <c r="E249" s="446"/>
      <c r="F249" s="446"/>
      <c r="I249" s="490"/>
    </row>
    <row r="250" spans="1:9" ht="14.5" customHeight="1">
      <c r="A250" s="484"/>
      <c r="B250" s="485" t="s">
        <v>2712</v>
      </c>
      <c r="D250" s="1285" t="s">
        <v>2052</v>
      </c>
      <c r="E250" s="1285"/>
      <c r="F250" s="1285"/>
      <c r="I250" s="490"/>
    </row>
    <row r="251" spans="1:9">
      <c r="A251" s="484"/>
      <c r="B251" s="484"/>
      <c r="D251" s="1285"/>
      <c r="E251" s="1285"/>
      <c r="F251" s="1285"/>
      <c r="I251" s="490"/>
    </row>
    <row r="252" spans="1:9">
      <c r="A252" s="484"/>
      <c r="B252" s="484"/>
      <c r="D252" s="1285"/>
      <c r="E252" s="1285"/>
      <c r="F252" s="1285"/>
      <c r="I252" s="490"/>
    </row>
    <row r="253" spans="1:9">
      <c r="A253" s="484"/>
      <c r="B253" s="484"/>
      <c r="D253" s="1285"/>
      <c r="E253" s="1285"/>
      <c r="F253" s="1285"/>
      <c r="I253" s="490"/>
    </row>
    <row r="254" spans="1:9">
      <c r="A254" s="484"/>
      <c r="B254" s="484"/>
      <c r="D254" s="1285"/>
      <c r="E254" s="1285"/>
      <c r="F254" s="1285"/>
      <c r="I254" s="490"/>
    </row>
    <row r="255" spans="1:9">
      <c r="A255" s="484"/>
      <c r="B255" s="484"/>
      <c r="D255" s="445"/>
      <c r="E255" s="445"/>
      <c r="F255" s="445"/>
      <c r="I255" s="490"/>
    </row>
    <row r="256" spans="1:9">
      <c r="A256" s="484"/>
      <c r="B256" s="485" t="s">
        <v>2711</v>
      </c>
      <c r="D256" s="392" t="s">
        <v>2053</v>
      </c>
      <c r="E256" s="445"/>
      <c r="F256" s="445"/>
      <c r="I256" s="490"/>
    </row>
    <row r="257" spans="1:9">
      <c r="A257" s="484"/>
      <c r="B257" s="484"/>
      <c r="E257" s="1036" t="s">
        <v>1895</v>
      </c>
      <c r="I257" s="490"/>
    </row>
    <row r="258" spans="1:9">
      <c r="D258" s="446"/>
      <c r="E258" s="446"/>
      <c r="F258" s="446"/>
      <c r="I258" s="490"/>
    </row>
    <row r="259" spans="1:9">
      <c r="A259" s="484"/>
      <c r="B259" s="485" t="s">
        <v>2711</v>
      </c>
      <c r="D259" s="1285" t="s">
        <v>1118</v>
      </c>
      <c r="E259" s="1285"/>
      <c r="F259" s="1285"/>
      <c r="I259" s="490"/>
    </row>
    <row r="260" spans="1:9">
      <c r="A260" s="484"/>
      <c r="B260" s="484"/>
      <c r="D260" s="1285"/>
      <c r="E260" s="1285"/>
      <c r="F260" s="1285"/>
      <c r="I260" s="490"/>
    </row>
    <row r="261" spans="1:9">
      <c r="D261" s="491"/>
      <c r="I261" s="490"/>
    </row>
    <row r="262" spans="1:9">
      <c r="A262" s="1288" t="s">
        <v>1046</v>
      </c>
      <c r="B262" s="1288"/>
      <c r="C262" s="1288"/>
      <c r="D262" s="1288"/>
      <c r="E262" s="1288"/>
      <c r="F262" s="1288"/>
      <c r="G262" s="1288"/>
      <c r="H262" s="1028"/>
      <c r="I262" s="1153"/>
    </row>
    <row r="263" spans="1:9">
      <c r="D263" s="491"/>
      <c r="I263" s="490"/>
    </row>
    <row r="264" spans="1:9">
      <c r="C264" s="486"/>
      <c r="D264" s="1293" t="s">
        <v>1120</v>
      </c>
      <c r="E264" s="1293"/>
      <c r="F264" s="1293"/>
      <c r="I264" s="490"/>
    </row>
    <row r="265" spans="1:9">
      <c r="A265" s="482"/>
      <c r="B265" s="482"/>
      <c r="C265" s="482"/>
      <c r="D265" s="446"/>
      <c r="E265" s="446"/>
      <c r="F265" s="446"/>
      <c r="I265" s="490"/>
    </row>
    <row r="266" spans="1:9">
      <c r="A266" s="483"/>
      <c r="B266" s="483"/>
      <c r="C266" s="483"/>
      <c r="D266" s="1293" t="s">
        <v>269</v>
      </c>
      <c r="E266" s="1293"/>
      <c r="F266" s="1293"/>
      <c r="I266" s="490"/>
    </row>
    <row r="267" spans="1:9" ht="14.5" customHeight="1">
      <c r="A267" s="484"/>
      <c r="B267" s="485" t="s">
        <v>2711</v>
      </c>
      <c r="D267" s="1285" t="s">
        <v>1195</v>
      </c>
      <c r="E267" s="1285"/>
      <c r="F267" s="1285"/>
      <c r="I267" s="490"/>
    </row>
    <row r="268" spans="1:9">
      <c r="D268" s="1285"/>
      <c r="E268" s="1285"/>
      <c r="F268" s="1285"/>
      <c r="I268" s="490"/>
    </row>
    <row r="269" spans="1:9">
      <c r="E269" s="1036" t="s">
        <v>1896</v>
      </c>
      <c r="I269" s="490"/>
    </row>
    <row r="270" spans="1:9">
      <c r="D270" s="446"/>
      <c r="E270" s="446"/>
      <c r="F270" s="446"/>
      <c r="I270" s="490"/>
    </row>
    <row r="271" spans="1:9" ht="14.5" customHeight="1">
      <c r="A271" s="484"/>
      <c r="B271" s="485" t="s">
        <v>2712</v>
      </c>
      <c r="D271" s="1285" t="s">
        <v>2054</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c r="A278" s="484"/>
      <c r="B278" s="485" t="s">
        <v>2712</v>
      </c>
      <c r="D278" s="1285" t="s">
        <v>1121</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1047</v>
      </c>
      <c r="B282" s="1288"/>
      <c r="C282" s="1288"/>
      <c r="D282" s="1288"/>
      <c r="E282" s="1288"/>
      <c r="F282" s="1288"/>
      <c r="G282" s="1288"/>
      <c r="H282" s="1028"/>
      <c r="I282" s="1153"/>
    </row>
    <row r="283" spans="1:9">
      <c r="D283" s="492"/>
      <c r="E283" s="446"/>
      <c r="F283" s="446"/>
      <c r="I283" s="490"/>
    </row>
    <row r="284" spans="1:9">
      <c r="C284" s="482"/>
      <c r="D284" s="1287" t="s">
        <v>1122</v>
      </c>
      <c r="E284" s="1287"/>
      <c r="F284" s="1287"/>
      <c r="I284" s="490"/>
    </row>
    <row r="285" spans="1:9">
      <c r="C285" s="482"/>
      <c r="D285" s="1287"/>
      <c r="E285" s="1287"/>
      <c r="F285" s="1287"/>
      <c r="I285" s="490"/>
    </row>
    <row r="286" spans="1:9">
      <c r="A286" s="483"/>
      <c r="B286" s="483"/>
      <c r="C286" s="483"/>
      <c r="D286" s="404"/>
      <c r="I286" s="490"/>
    </row>
    <row r="287" spans="1:9">
      <c r="C287" s="483"/>
      <c r="D287" s="1293" t="s">
        <v>209</v>
      </c>
      <c r="E287" s="1293"/>
      <c r="F287" s="1293"/>
      <c r="I287" s="490"/>
    </row>
    <row r="288" spans="1:9" ht="15.75" customHeight="1">
      <c r="A288" s="484"/>
      <c r="B288" s="484"/>
      <c r="D288" s="1300" t="s">
        <v>1123</v>
      </c>
      <c r="E288" s="1300"/>
      <c r="F288" s="1300"/>
      <c r="I288" s="490"/>
    </row>
    <row r="289" spans="1:9">
      <c r="E289" s="446"/>
      <c r="F289" s="446"/>
      <c r="I289" s="490"/>
    </row>
    <row r="290" spans="1:9">
      <c r="A290" s="484"/>
      <c r="B290" s="485" t="s">
        <v>2712</v>
      </c>
      <c r="D290" s="1285" t="s">
        <v>1124</v>
      </c>
      <c r="E290" s="1285"/>
      <c r="F290" s="1285"/>
      <c r="I290" s="490"/>
    </row>
    <row r="291" spans="1:9">
      <c r="A291" s="484"/>
      <c r="B291" s="484"/>
      <c r="D291" s="1285"/>
      <c r="E291" s="1285"/>
      <c r="F291" s="1285"/>
      <c r="I291" s="490"/>
    </row>
    <row r="292" spans="1:9">
      <c r="D292" s="446"/>
      <c r="E292" s="446"/>
      <c r="F292" s="446"/>
      <c r="I292" s="490"/>
    </row>
    <row r="293" spans="1:9">
      <c r="A293" s="484"/>
      <c r="B293" s="485" t="s">
        <v>2712</v>
      </c>
      <c r="D293" s="1285" t="s">
        <v>1125</v>
      </c>
      <c r="E293" s="1285"/>
      <c r="F293" s="1285"/>
      <c r="I293" s="490"/>
    </row>
    <row r="294" spans="1:9">
      <c r="A294" s="484"/>
      <c r="B294" s="484"/>
      <c r="D294" s="1285"/>
      <c r="E294" s="1285"/>
      <c r="F294" s="1285"/>
      <c r="I294" s="490"/>
    </row>
    <row r="295" spans="1:9">
      <c r="A295" s="484"/>
      <c r="B295" s="484"/>
      <c r="D295" s="1285"/>
      <c r="E295" s="1285"/>
      <c r="F295" s="1285"/>
      <c r="I295" s="490"/>
    </row>
    <row r="296" spans="1:9">
      <c r="D296" s="446"/>
      <c r="E296" s="446"/>
      <c r="F296" s="446"/>
      <c r="I296" s="490"/>
    </row>
    <row r="297" spans="1:9">
      <c r="A297" s="484"/>
      <c r="B297" s="485" t="s">
        <v>2712</v>
      </c>
      <c r="D297" s="1285" t="s">
        <v>1126</v>
      </c>
      <c r="E297" s="1285"/>
      <c r="F297" s="1285"/>
      <c r="I297" s="490"/>
    </row>
    <row r="298" spans="1:9">
      <c r="A298" s="484"/>
      <c r="B298" s="484"/>
      <c r="D298" s="1285"/>
      <c r="E298" s="1285"/>
      <c r="F298" s="1285"/>
      <c r="I298" s="490"/>
    </row>
    <row r="299" spans="1:9">
      <c r="A299" s="490"/>
      <c r="B299" s="490"/>
      <c r="E299" s="446"/>
      <c r="F299" s="446"/>
      <c r="I299" s="490"/>
    </row>
    <row r="300" spans="1:9">
      <c r="A300" s="1288" t="s">
        <v>1048</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1127</v>
      </c>
      <c r="E303" s="1286"/>
      <c r="F303" s="1286"/>
      <c r="I303" s="490"/>
    </row>
    <row r="304" spans="1:9">
      <c r="C304" s="490"/>
      <c r="D304" s="493"/>
      <c r="I304" s="490"/>
    </row>
    <row r="305" spans="1:9">
      <c r="B305" s="485" t="s">
        <v>2712</v>
      </c>
      <c r="D305" s="1286" t="s">
        <v>1128</v>
      </c>
      <c r="E305" s="1286"/>
      <c r="F305" s="1286"/>
      <c r="I305" s="490"/>
    </row>
    <row r="306" spans="1:9">
      <c r="A306" s="484"/>
      <c r="B306" s="484"/>
      <c r="D306" s="494"/>
      <c r="E306" s="495"/>
      <c r="F306" s="495"/>
      <c r="I306" s="490"/>
    </row>
    <row r="307" spans="1:9" ht="13.75" customHeight="1">
      <c r="B307" s="485" t="s">
        <v>2712</v>
      </c>
      <c r="D307" s="1295" t="s">
        <v>1218</v>
      </c>
      <c r="E307" s="1295"/>
      <c r="F307" s="1295"/>
      <c r="I307" s="490"/>
    </row>
    <row r="308" spans="1:9">
      <c r="A308" s="484"/>
      <c r="B308" s="484"/>
      <c r="D308" s="1295"/>
      <c r="E308" s="1295"/>
      <c r="F308" s="1295"/>
      <c r="I308" s="490"/>
    </row>
    <row r="309" spans="1:9">
      <c r="A309" s="484"/>
      <c r="B309" s="484"/>
      <c r="D309" s="1295"/>
      <c r="E309" s="1295"/>
      <c r="F309" s="1295"/>
      <c r="I309" s="490"/>
    </row>
    <row r="310" spans="1:9">
      <c r="A310" s="484"/>
      <c r="B310" s="484"/>
      <c r="D310" s="1295"/>
      <c r="E310" s="1295"/>
      <c r="F310" s="1295"/>
      <c r="I310" s="490"/>
    </row>
    <row r="311" spans="1:9">
      <c r="A311" s="484"/>
      <c r="B311" s="484"/>
      <c r="D311" s="1295"/>
      <c r="E311" s="1295"/>
      <c r="F311" s="1295"/>
      <c r="I311" s="490"/>
    </row>
    <row r="312" spans="1:9">
      <c r="A312" s="484"/>
      <c r="B312" s="484"/>
      <c r="D312" s="494"/>
      <c r="E312" s="495"/>
      <c r="F312" s="495"/>
      <c r="I312" s="490"/>
    </row>
    <row r="313" spans="1:9" ht="13.75" customHeight="1">
      <c r="B313" s="485" t="s">
        <v>2712</v>
      </c>
      <c r="D313" s="1295" t="s">
        <v>1129</v>
      </c>
      <c r="E313" s="1295"/>
      <c r="F313" s="1295"/>
      <c r="I313" s="490"/>
    </row>
    <row r="314" spans="1:9">
      <c r="D314" s="1295"/>
      <c r="E314" s="1295"/>
      <c r="F314" s="1295"/>
      <c r="I314" s="490"/>
    </row>
    <row r="315" spans="1:9">
      <c r="A315" s="484"/>
      <c r="B315" s="484"/>
      <c r="D315" s="494"/>
      <c r="E315" s="495"/>
      <c r="F315" s="495"/>
      <c r="I315" s="490"/>
    </row>
    <row r="316" spans="1:9">
      <c r="B316" s="485" t="s">
        <v>2712</v>
      </c>
      <c r="D316" s="1286" t="s">
        <v>1130</v>
      </c>
      <c r="E316" s="1286"/>
      <c r="F316" s="1286"/>
      <c r="I316" s="490"/>
    </row>
    <row r="317" spans="1:9">
      <c r="E317" s="446"/>
      <c r="F317" s="446"/>
      <c r="I317" s="490"/>
    </row>
    <row r="318" spans="1:9">
      <c r="A318" s="484"/>
      <c r="B318" s="485" t="s">
        <v>2712</v>
      </c>
      <c r="D318" s="1285" t="s">
        <v>2244</v>
      </c>
      <c r="E318" s="1285"/>
      <c r="F318" s="1285"/>
      <c r="I318" s="490"/>
    </row>
    <row r="319" spans="1:9">
      <c r="A319" s="484"/>
      <c r="B319" s="484"/>
      <c r="D319" s="1285"/>
      <c r="E319" s="1285"/>
      <c r="F319" s="1285"/>
      <c r="I319" s="490"/>
    </row>
    <row r="320" spans="1:9">
      <c r="A320" s="484"/>
      <c r="B320" s="484"/>
      <c r="D320" s="1285"/>
      <c r="E320" s="1285"/>
      <c r="F320" s="1285"/>
      <c r="I320" s="490"/>
    </row>
    <row r="321" spans="1:9">
      <c r="A321" s="484"/>
      <c r="B321" s="484"/>
      <c r="D321" s="1285"/>
      <c r="E321" s="1285"/>
      <c r="F321" s="1285"/>
      <c r="I321" s="490"/>
    </row>
    <row r="322" spans="1:9">
      <c r="A322" s="484"/>
      <c r="B322" s="484"/>
      <c r="D322" s="1285"/>
      <c r="E322" s="1285"/>
      <c r="F322" s="1285"/>
      <c r="I322" s="490"/>
    </row>
    <row r="323" spans="1:9">
      <c r="A323" s="484"/>
      <c r="B323" s="484"/>
      <c r="D323" s="1285"/>
      <c r="E323" s="1285"/>
      <c r="F323" s="1285"/>
      <c r="I323" s="490"/>
    </row>
    <row r="324" spans="1:9">
      <c r="A324" s="484"/>
      <c r="B324" s="484"/>
      <c r="D324" s="1285"/>
      <c r="E324" s="1285"/>
      <c r="F324" s="1285"/>
      <c r="I324" s="490"/>
    </row>
    <row r="325" spans="1:9">
      <c r="A325" s="484"/>
      <c r="B325" s="484"/>
      <c r="D325" s="1285"/>
      <c r="E325" s="1285"/>
      <c r="F325" s="1285"/>
      <c r="I325" s="490"/>
    </row>
    <row r="326" spans="1:9">
      <c r="A326" s="484"/>
      <c r="B326" s="484"/>
      <c r="D326" s="1285"/>
      <c r="E326" s="1285"/>
      <c r="F326" s="1285"/>
      <c r="I326" s="490"/>
    </row>
    <row r="327" spans="1:9">
      <c r="A327" s="484"/>
      <c r="B327" s="484"/>
      <c r="D327" s="1285"/>
      <c r="E327" s="1285"/>
      <c r="F327" s="1285"/>
      <c r="I327" s="490"/>
    </row>
    <row r="328" spans="1:9">
      <c r="A328" s="484"/>
      <c r="B328" s="484"/>
      <c r="D328" s="1285"/>
      <c r="E328" s="1285"/>
      <c r="F328" s="1285"/>
      <c r="I328" s="490"/>
    </row>
    <row r="329" spans="1:9">
      <c r="A329" s="484"/>
      <c r="B329" s="484"/>
      <c r="D329" s="1285"/>
      <c r="E329" s="1285"/>
      <c r="F329" s="1285"/>
      <c r="I329" s="490"/>
    </row>
    <row r="330" spans="1:9">
      <c r="A330" s="484"/>
      <c r="B330" s="484"/>
      <c r="D330" s="1285"/>
      <c r="E330" s="1285"/>
      <c r="F330" s="1285"/>
      <c r="I330" s="490"/>
    </row>
    <row r="331" spans="1:9">
      <c r="A331" s="484"/>
      <c r="B331" s="484"/>
      <c r="D331" s="1285"/>
      <c r="E331" s="1285"/>
      <c r="F331" s="1285"/>
      <c r="I331" s="490"/>
    </row>
    <row r="332" spans="1:9">
      <c r="A332" s="484"/>
      <c r="B332" s="484"/>
      <c r="D332" s="1285"/>
      <c r="E332" s="1285"/>
      <c r="F332" s="1285"/>
      <c r="I332" s="490"/>
    </row>
    <row r="333" spans="1:9">
      <c r="D333" s="446"/>
      <c r="E333" s="446"/>
      <c r="F333" s="446"/>
      <c r="I333" s="490"/>
    </row>
    <row r="334" spans="1:9">
      <c r="A334" s="484"/>
      <c r="B334" s="485" t="s">
        <v>2712</v>
      </c>
      <c r="D334" s="1285" t="s">
        <v>1131</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2712</v>
      </c>
      <c r="D344" s="1285" t="s">
        <v>1901</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298" t="s">
        <v>978</v>
      </c>
      <c r="E351" s="1298"/>
      <c r="F351" s="1298"/>
      <c r="G351" s="1027"/>
      <c r="H351" s="1027"/>
      <c r="I351" s="1156"/>
    </row>
    <row r="352" spans="1:9" ht="13.5" thickTop="1">
      <c r="D352" s="1296" t="s">
        <v>2245</v>
      </c>
      <c r="E352" s="1296"/>
      <c r="F352" s="1296"/>
      <c r="I352" s="490"/>
    </row>
    <row r="353" spans="1:9">
      <c r="D353" s="446"/>
      <c r="E353" s="446"/>
      <c r="F353" s="446"/>
      <c r="I353" s="490"/>
    </row>
    <row r="354" spans="1:9">
      <c r="A354" s="476"/>
      <c r="B354" s="476"/>
      <c r="C354" s="476"/>
      <c r="D354" s="447"/>
      <c r="E354" s="447"/>
      <c r="F354" s="446"/>
      <c r="I354" s="490"/>
    </row>
    <row r="355" spans="1:9">
      <c r="A355" s="484"/>
      <c r="B355" s="485" t="s">
        <v>2712</v>
      </c>
      <c r="C355" s="487"/>
      <c r="D355" s="1286" t="s">
        <v>1899</v>
      </c>
      <c r="E355" s="1286"/>
      <c r="F355" s="1286"/>
      <c r="I355" s="490"/>
    </row>
    <row r="356" spans="1:9" ht="12.75" customHeight="1">
      <c r="D356" s="1037"/>
      <c r="E356" s="96" t="s">
        <v>1898</v>
      </c>
      <c r="F356" s="1037"/>
      <c r="I356" s="490"/>
    </row>
    <row r="357" spans="1:9">
      <c r="D357" s="1285" t="s">
        <v>1238</v>
      </c>
      <c r="E357" s="1285"/>
      <c r="F357" s="1285"/>
      <c r="I357" s="490"/>
    </row>
    <row r="358" spans="1:9">
      <c r="D358" s="1285"/>
      <c r="E358" s="1285"/>
      <c r="F358" s="1285"/>
      <c r="I358" s="490"/>
    </row>
    <row r="359" spans="1:9">
      <c r="D359" s="1285"/>
      <c r="E359" s="1285"/>
      <c r="F359" s="1285"/>
      <c r="I359" s="490"/>
    </row>
    <row r="360" spans="1:9">
      <c r="A360" s="484"/>
      <c r="B360" s="485" t="s">
        <v>2712</v>
      </c>
      <c r="C360" s="476"/>
      <c r="D360" s="1297" t="s">
        <v>2055</v>
      </c>
      <c r="E360" s="1297"/>
      <c r="F360" s="1297"/>
      <c r="I360" s="480"/>
    </row>
    <row r="361" spans="1:9">
      <c r="A361" s="476"/>
      <c r="B361" s="476"/>
      <c r="C361" s="476"/>
      <c r="D361" s="447"/>
      <c r="E361" s="447"/>
      <c r="F361" s="446"/>
      <c r="I361" s="490"/>
    </row>
    <row r="362" spans="1:9">
      <c r="A362" s="476"/>
      <c r="B362" s="485" t="s">
        <v>2712</v>
      </c>
      <c r="C362" s="476"/>
      <c r="D362" s="1265" t="s">
        <v>2056</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5" customHeight="1">
      <c r="A375" s="476"/>
      <c r="B375" s="485" t="s">
        <v>2712</v>
      </c>
      <c r="C375" s="476"/>
      <c r="D375" s="1282" t="s">
        <v>1220</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2712</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c r="A387" s="484"/>
      <c r="B387" s="485" t="s">
        <v>2712</v>
      </c>
      <c r="C387" s="476"/>
      <c r="D387" s="1265" t="s">
        <v>1132</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1133</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5" customHeight="1">
      <c r="A401" s="476"/>
      <c r="B401" s="476"/>
      <c r="C401" s="476"/>
      <c r="D401" s="1265" t="s">
        <v>1134</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2712</v>
      </c>
      <c r="C420" s="476"/>
      <c r="D420" s="1265" t="s">
        <v>1135</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5" customHeight="1">
      <c r="A423" s="484"/>
      <c r="B423" s="485" t="s">
        <v>2712</v>
      </c>
      <c r="D423" s="1265" t="s">
        <v>1880</v>
      </c>
      <c r="E423" s="1265"/>
      <c r="F423" s="1265"/>
      <c r="I423" s="490"/>
    </row>
    <row r="424" spans="1:9" ht="14.5" customHeight="1">
      <c r="A424" s="484"/>
      <c r="D424" s="1265"/>
      <c r="E424" s="1265"/>
      <c r="F424" s="1265"/>
      <c r="I424" s="490"/>
    </row>
    <row r="425" spans="1:9" ht="14.5" customHeight="1">
      <c r="A425" s="484"/>
      <c r="D425" s="1265"/>
      <c r="E425" s="1265"/>
      <c r="F425" s="1265"/>
      <c r="I425" s="490"/>
    </row>
    <row r="426" spans="1:9" ht="14.5" customHeight="1">
      <c r="A426" s="484"/>
      <c r="D426" s="1265"/>
      <c r="E426" s="1265"/>
      <c r="F426" s="1265"/>
      <c r="I426" s="490"/>
    </row>
    <row r="427" spans="1:9" ht="14.5" customHeight="1">
      <c r="A427" s="484"/>
      <c r="D427" s="1265"/>
      <c r="E427" s="1265"/>
      <c r="F427" s="1265"/>
      <c r="I427" s="490"/>
    </row>
    <row r="428" spans="1:9" ht="14.5" customHeight="1">
      <c r="A428" s="484"/>
      <c r="D428" s="385"/>
      <c r="E428" s="385"/>
      <c r="F428" s="385"/>
      <c r="I428" s="490"/>
    </row>
    <row r="429" spans="1:9" ht="13.75" customHeight="1">
      <c r="A429" s="484"/>
      <c r="B429" s="485" t="s">
        <v>2712</v>
      </c>
      <c r="C429" s="476"/>
      <c r="D429" s="1265" t="s">
        <v>1239</v>
      </c>
      <c r="E429" s="1265"/>
      <c r="F429" s="1265"/>
      <c r="I429" s="490"/>
    </row>
    <row r="430" spans="1:9">
      <c r="A430" s="497"/>
      <c r="B430" s="497"/>
      <c r="C430" s="476"/>
      <c r="D430" s="1265"/>
      <c r="E430" s="1265"/>
      <c r="F430" s="1265"/>
      <c r="I430" s="490"/>
    </row>
    <row r="431" spans="1:9">
      <c r="A431" s="497"/>
      <c r="B431" s="497"/>
      <c r="C431" s="476"/>
      <c r="D431" s="1265"/>
      <c r="E431" s="1265"/>
      <c r="F431" s="1265"/>
      <c r="I431" s="490"/>
    </row>
    <row r="432" spans="1:9">
      <c r="A432" s="497"/>
      <c r="B432" s="497"/>
      <c r="C432" s="476"/>
      <c r="D432" s="1265"/>
      <c r="E432" s="1265"/>
      <c r="F432" s="1265"/>
      <c r="I432" s="490"/>
    </row>
    <row r="433" spans="1:9" ht="15.75" customHeight="1">
      <c r="A433" s="497"/>
      <c r="B433" s="497"/>
      <c r="C433" s="476"/>
      <c r="D433" s="1299" t="s">
        <v>2072</v>
      </c>
      <c r="E433" s="1265"/>
      <c r="F433" s="1265"/>
      <c r="I433" s="490"/>
    </row>
    <row r="434" spans="1:9">
      <c r="D434" s="446"/>
      <c r="E434" s="446"/>
      <c r="F434" s="446"/>
      <c r="I434" s="490"/>
    </row>
    <row r="435" spans="1:9">
      <c r="A435" s="484"/>
      <c r="B435" s="485" t="s">
        <v>2712</v>
      </c>
      <c r="C435" s="487"/>
      <c r="D435" s="1285" t="s">
        <v>2057</v>
      </c>
      <c r="E435" s="1285"/>
      <c r="F435" s="1285"/>
      <c r="I435" s="490"/>
    </row>
    <row r="436" spans="1:9">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5" customHeight="1">
      <c r="D465" s="1285"/>
      <c r="E465" s="1285"/>
      <c r="F465" s="1285"/>
      <c r="I465" s="490"/>
    </row>
    <row r="466" spans="1:9">
      <c r="D466" s="446"/>
      <c r="E466" s="446"/>
      <c r="F466" s="446"/>
      <c r="I466" s="490"/>
    </row>
    <row r="467" spans="1:9">
      <c r="A467" s="484"/>
      <c r="B467" s="485" t="s">
        <v>2712</v>
      </c>
      <c r="C467" s="487"/>
      <c r="D467" s="1285" t="s">
        <v>1136</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c r="B471" s="485" t="s">
        <v>2712</v>
      </c>
      <c r="C471" s="484"/>
      <c r="D471" s="1285" t="s">
        <v>1196</v>
      </c>
      <c r="E471" s="1285"/>
      <c r="F471" s="1285"/>
      <c r="I471" s="490"/>
    </row>
    <row r="472" spans="1:9">
      <c r="D472" s="1285"/>
      <c r="E472" s="1285"/>
      <c r="F472" s="1285"/>
      <c r="I472" s="490"/>
    </row>
    <row r="473" spans="1:9">
      <c r="D473" s="446"/>
      <c r="E473" s="446"/>
      <c r="F473" s="446"/>
      <c r="I473" s="490"/>
    </row>
    <row r="474" spans="1:9">
      <c r="B474" s="485" t="s">
        <v>2712</v>
      </c>
      <c r="C474" s="484"/>
      <c r="D474" s="1285" t="s">
        <v>1137</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2712</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2712</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2712</v>
      </c>
      <c r="C486" s="402"/>
      <c r="D486" s="1285"/>
      <c r="E486" s="1285"/>
      <c r="F486" s="1285"/>
      <c r="I486" s="490"/>
    </row>
    <row r="487" spans="1:9">
      <c r="A487" s="402"/>
      <c r="C487" s="402"/>
      <c r="D487" s="1285"/>
      <c r="E487" s="1285"/>
      <c r="F487" s="1285"/>
      <c r="I487" s="490"/>
    </row>
    <row r="488" spans="1:9">
      <c r="A488" s="402"/>
      <c r="B488" s="485" t="s">
        <v>2712</v>
      </c>
      <c r="C488" s="402"/>
      <c r="D488" s="1285" t="s">
        <v>1138</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2712</v>
      </c>
      <c r="D494" s="1286" t="s">
        <v>1139</v>
      </c>
      <c r="E494" s="1286"/>
      <c r="F494" s="1286"/>
      <c r="I494" s="490"/>
    </row>
    <row r="495" spans="1:9">
      <c r="A495" s="446"/>
      <c r="B495" s="446"/>
      <c r="I495" s="490"/>
    </row>
    <row r="496" spans="1:9">
      <c r="A496" s="1288" t="s">
        <v>1049</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c r="A499" s="484"/>
      <c r="B499" s="484"/>
      <c r="D499" s="1297" t="s">
        <v>1140</v>
      </c>
      <c r="E499" s="1297"/>
      <c r="F499" s="1297"/>
      <c r="I499" s="490"/>
    </row>
    <row r="500" spans="1:9">
      <c r="A500" s="484"/>
      <c r="B500" s="484"/>
      <c r="D500" s="447"/>
      <c r="I500" s="490"/>
    </row>
    <row r="501" spans="1:9">
      <c r="A501" s="484"/>
      <c r="B501" s="485" t="s">
        <v>2712</v>
      </c>
      <c r="D501" s="1265" t="s">
        <v>1141</v>
      </c>
      <c r="E501" s="1265"/>
      <c r="F501" s="1265"/>
      <c r="I501" s="490"/>
    </row>
    <row r="502" spans="1:9">
      <c r="A502" s="484"/>
      <c r="B502" s="484"/>
      <c r="D502" s="1265"/>
      <c r="E502" s="1265"/>
      <c r="F502" s="1265"/>
      <c r="I502" s="490"/>
    </row>
    <row r="503" spans="1:9">
      <c r="A503" s="484"/>
      <c r="B503" s="484"/>
      <c r="D503" s="446"/>
      <c r="I503" s="490"/>
    </row>
    <row r="504" spans="1:9" ht="12.75" customHeight="1">
      <c r="B504" s="485" t="s">
        <v>2711</v>
      </c>
      <c r="D504" s="1289" t="s">
        <v>1272</v>
      </c>
      <c r="E504" s="1289"/>
      <c r="F504" s="1289"/>
      <c r="I504" s="490"/>
    </row>
    <row r="505" spans="1:9">
      <c r="A505" s="484"/>
      <c r="D505" s="1289"/>
      <c r="E505" s="1289"/>
      <c r="F505" s="1289"/>
      <c r="I505" s="490"/>
    </row>
    <row r="506" spans="1:9">
      <c r="A506" s="484"/>
      <c r="B506" s="484"/>
      <c r="D506" s="1289"/>
      <c r="E506" s="1289"/>
      <c r="F506" s="1289"/>
      <c r="I506" s="490"/>
    </row>
    <row r="507" spans="1:9">
      <c r="A507" s="484"/>
      <c r="B507" s="484"/>
      <c r="D507" s="1289"/>
      <c r="E507" s="1289"/>
      <c r="F507" s="1289"/>
      <c r="I507" s="490"/>
    </row>
    <row r="508" spans="1:9">
      <c r="A508" s="484"/>
      <c r="D508" s="520"/>
      <c r="E508" s="520"/>
      <c r="F508" s="520"/>
      <c r="I508" s="490"/>
    </row>
    <row r="509" spans="1:9">
      <c r="A509" s="484"/>
      <c r="B509" s="485" t="s">
        <v>2711</v>
      </c>
      <c r="D509" s="1286" t="s">
        <v>1142</v>
      </c>
      <c r="E509" s="1286"/>
      <c r="F509" s="1286"/>
      <c r="I509" s="490"/>
    </row>
    <row r="510" spans="1:9">
      <c r="A510" s="484"/>
      <c r="B510" s="484"/>
      <c r="D510" s="446"/>
      <c r="I510" s="490"/>
    </row>
    <row r="511" spans="1:9">
      <c r="A511" s="484"/>
      <c r="B511" s="485" t="s">
        <v>2711</v>
      </c>
      <c r="D511" s="1285" t="s">
        <v>1143</v>
      </c>
      <c r="E511" s="1285"/>
      <c r="F511" s="1285"/>
      <c r="I511" s="490"/>
    </row>
    <row r="512" spans="1:9">
      <c r="A512" s="484"/>
      <c r="D512" s="1285"/>
      <c r="E512" s="1285"/>
      <c r="F512" s="1285"/>
      <c r="I512" s="490"/>
    </row>
    <row r="513" spans="1:9">
      <c r="A513" s="490"/>
      <c r="B513" s="490"/>
      <c r="D513" s="447"/>
      <c r="I513" s="490"/>
    </row>
    <row r="514" spans="1:9">
      <c r="A514" s="490"/>
      <c r="B514" s="485" t="s">
        <v>2712</v>
      </c>
      <c r="D514" s="1286" t="s">
        <v>1144</v>
      </c>
      <c r="E514" s="1286"/>
      <c r="F514" s="1286"/>
      <c r="I514" s="490"/>
    </row>
    <row r="515" spans="1:9">
      <c r="D515" s="446"/>
      <c r="E515" s="446"/>
      <c r="F515" s="446"/>
      <c r="I515" s="490"/>
    </row>
    <row r="516" spans="1:9">
      <c r="B516" s="485" t="s">
        <v>2712</v>
      </c>
      <c r="D516" s="1285" t="s">
        <v>2279</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c r="A520" s="484"/>
      <c r="B520" s="484"/>
      <c r="D520" s="446"/>
      <c r="I520" s="490"/>
    </row>
    <row r="521" spans="1:9">
      <c r="A521" s="1288" t="s">
        <v>1050</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2711</v>
      </c>
      <c r="C527" s="483"/>
      <c r="D527" s="1265" t="s">
        <v>2058</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2712</v>
      </c>
      <c r="D530" s="386" t="s">
        <v>1902</v>
      </c>
      <c r="E530" s="385"/>
      <c r="F530" s="385"/>
      <c r="I530" s="490"/>
    </row>
    <row r="531" spans="1:9">
      <c r="A531" s="483"/>
      <c r="B531" s="483"/>
      <c r="C531" s="483"/>
      <c r="D531" s="385"/>
      <c r="E531" s="96" t="s">
        <v>1903</v>
      </c>
      <c r="I531" s="490"/>
    </row>
    <row r="532" spans="1:9">
      <c r="A532" s="483"/>
      <c r="B532" s="483"/>
      <c r="D532" s="1282" t="s">
        <v>2059</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2712</v>
      </c>
      <c r="C536" s="483"/>
      <c r="D536" s="1285" t="s">
        <v>2060</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1051</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1052</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1080</v>
      </c>
      <c r="E546" s="1286"/>
      <c r="F546" s="1286"/>
      <c r="I546" s="490"/>
    </row>
    <row r="547" spans="1:9">
      <c r="C547" s="487"/>
      <c r="D547" s="446"/>
      <c r="E547" s="446"/>
      <c r="F547" s="446"/>
      <c r="I547" s="490"/>
    </row>
    <row r="548" spans="1:9" ht="13.75" customHeight="1">
      <c r="A548" s="484"/>
      <c r="B548" s="485" t="s">
        <v>2711</v>
      </c>
      <c r="C548" s="487"/>
      <c r="D548" s="1286" t="s">
        <v>884</v>
      </c>
      <c r="E548" s="1286"/>
      <c r="F548" s="1286"/>
      <c r="I548" s="490"/>
    </row>
    <row r="549" spans="1:9" ht="13.75" customHeight="1">
      <c r="A549" s="487"/>
      <c r="B549" s="487"/>
      <c r="C549" s="487"/>
      <c r="D549" s="446"/>
      <c r="I549" s="490"/>
    </row>
    <row r="550" spans="1:9">
      <c r="A550" s="484"/>
      <c r="B550" s="485" t="s">
        <v>2711</v>
      </c>
      <c r="C550" s="487"/>
      <c r="D550" s="1285" t="s">
        <v>1081</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c r="A553" s="484"/>
      <c r="B553" s="485" t="s">
        <v>2711</v>
      </c>
      <c r="C553" s="487"/>
      <c r="D553" s="1285" t="s">
        <v>1082</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c r="A556" s="484"/>
      <c r="B556" s="485" t="s">
        <v>2711</v>
      </c>
      <c r="C556" s="487"/>
      <c r="D556" s="1285" t="s">
        <v>1083</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c r="A559" s="484"/>
      <c r="B559" s="485" t="s">
        <v>2711</v>
      </c>
      <c r="C559" s="487"/>
      <c r="D559" s="1285" t="s">
        <v>1084</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c r="A563" s="484"/>
      <c r="B563" s="485" t="s">
        <v>2712</v>
      </c>
      <c r="C563" s="487"/>
      <c r="D563" s="1285" t="s">
        <v>2246</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c r="A566" s="484"/>
      <c r="B566" s="485" t="s">
        <v>2711</v>
      </c>
      <c r="C566" s="487"/>
      <c r="D566" s="1285" t="s">
        <v>1085</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c r="A569" s="484"/>
      <c r="B569" s="485" t="s">
        <v>2711</v>
      </c>
      <c r="C569" s="487"/>
      <c r="D569" s="1286" t="s">
        <v>1086</v>
      </c>
      <c r="E569" s="1286"/>
      <c r="F569" s="1286"/>
      <c r="I569" s="490"/>
    </row>
    <row r="570" spans="1:9">
      <c r="A570" s="490"/>
      <c r="B570" s="490"/>
      <c r="C570" s="487"/>
      <c r="D570" s="1286" t="s">
        <v>1905</v>
      </c>
      <c r="E570" s="1286"/>
      <c r="F570" s="1286"/>
      <c r="I570" s="490"/>
    </row>
    <row r="571" spans="1:9">
      <c r="A571" s="490"/>
      <c r="B571" s="490"/>
      <c r="C571" s="487"/>
      <c r="E571" s="96" t="s">
        <v>1904</v>
      </c>
      <c r="F571" s="404"/>
      <c r="I571" s="490"/>
    </row>
    <row r="572" spans="1:9">
      <c r="A572" s="484"/>
      <c r="B572" s="484"/>
      <c r="C572" s="487"/>
      <c r="E572" s="446"/>
      <c r="F572" s="446"/>
      <c r="I572" s="490"/>
    </row>
    <row r="573" spans="1:9">
      <c r="A573" s="484"/>
      <c r="B573" s="485" t="s">
        <v>2711</v>
      </c>
      <c r="C573" s="487"/>
      <c r="D573" s="1286" t="s">
        <v>1087</v>
      </c>
      <c r="E573" s="1286"/>
      <c r="F573" s="1286"/>
      <c r="I573" s="490"/>
    </row>
    <row r="574" spans="1:9">
      <c r="C574" s="487"/>
      <c r="D574" s="1285" t="s">
        <v>1088</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c r="A578" s="484"/>
      <c r="B578" s="485" t="s">
        <v>2711</v>
      </c>
      <c r="C578" s="487"/>
      <c r="D578" s="1285" t="s">
        <v>2061</v>
      </c>
      <c r="E578" s="1285"/>
      <c r="F578" s="1285"/>
      <c r="I578" s="490"/>
    </row>
    <row r="579" spans="1:9">
      <c r="A579" s="484"/>
      <c r="B579" s="484"/>
      <c r="C579" s="487"/>
      <c r="D579" s="1285"/>
      <c r="E579" s="1285"/>
      <c r="F579" s="1285"/>
      <c r="I579" s="490"/>
    </row>
    <row r="580" spans="1:9">
      <c r="A580" s="484"/>
      <c r="B580" s="484"/>
      <c r="C580" s="487"/>
      <c r="D580" s="1285"/>
      <c r="E580" s="1285"/>
      <c r="F580" s="1285"/>
      <c r="I580" s="490"/>
    </row>
    <row r="581" spans="1:9">
      <c r="A581" s="484"/>
      <c r="B581" s="484"/>
      <c r="C581" s="487"/>
      <c r="D581" s="1285"/>
      <c r="E581" s="1285"/>
      <c r="F581" s="1285"/>
      <c r="I581" s="490"/>
    </row>
    <row r="582" spans="1:9">
      <c r="A582" s="484"/>
      <c r="B582" s="484"/>
      <c r="C582" s="487"/>
      <c r="D582" s="446"/>
      <c r="E582" s="446"/>
      <c r="F582" s="446"/>
      <c r="I582" s="490"/>
    </row>
    <row r="583" spans="1:9">
      <c r="A583" s="1288" t="s">
        <v>1053</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210</v>
      </c>
      <c r="E585" s="1287"/>
      <c r="F585" s="1287"/>
      <c r="I585" s="490"/>
    </row>
    <row r="586" spans="1:9">
      <c r="A586" s="483"/>
      <c r="B586" s="483"/>
      <c r="C586" s="483"/>
      <c r="D586" s="1289" t="s">
        <v>1066</v>
      </c>
      <c r="E586" s="1289"/>
      <c r="F586" s="1289"/>
      <c r="I586" s="490"/>
    </row>
    <row r="587" spans="1:9">
      <c r="A587" s="402"/>
      <c r="B587" s="402"/>
      <c r="C587" s="483"/>
      <c r="D587" s="499"/>
      <c r="I587" s="490"/>
    </row>
    <row r="588" spans="1:9">
      <c r="A588" s="483"/>
      <c r="B588" s="485" t="s">
        <v>2711</v>
      </c>
      <c r="D588" s="1289" t="s">
        <v>888</v>
      </c>
      <c r="E588" s="1289"/>
      <c r="F588" s="1289"/>
      <c r="I588" s="490"/>
    </row>
    <row r="589" spans="1:9">
      <c r="A589" s="490"/>
      <c r="B589" s="490"/>
      <c r="D589" s="476"/>
      <c r="I589" s="490"/>
    </row>
    <row r="590" spans="1:9">
      <c r="A590" s="490"/>
      <c r="B590" s="485" t="s">
        <v>2711</v>
      </c>
      <c r="D590" s="1289" t="s">
        <v>2062</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2712</v>
      </c>
      <c r="D594" s="1289" t="s">
        <v>1067</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2711</v>
      </c>
      <c r="D599" s="1289" t="s">
        <v>2063</v>
      </c>
      <c r="E599" s="1289"/>
      <c r="F599" s="1289"/>
      <c r="I599" s="490"/>
    </row>
    <row r="600" spans="1:9">
      <c r="A600" s="490"/>
      <c r="B600" s="490"/>
      <c r="D600" s="1289"/>
      <c r="E600" s="1289"/>
      <c r="F600" s="1289"/>
      <c r="I600" s="490"/>
    </row>
    <row r="601" spans="1:9">
      <c r="A601" s="490"/>
      <c r="B601" s="490"/>
      <c r="D601" s="499"/>
      <c r="I601" s="490"/>
    </row>
    <row r="602" spans="1:9">
      <c r="A602" s="490"/>
      <c r="B602" s="485" t="s">
        <v>2712</v>
      </c>
      <c r="D602" s="1289" t="s">
        <v>1068</v>
      </c>
      <c r="E602" s="1289"/>
      <c r="F602" s="1289"/>
      <c r="I602" s="490"/>
    </row>
    <row r="603" spans="1:9">
      <c r="A603" s="490"/>
      <c r="B603" s="490"/>
      <c r="D603" s="1289"/>
      <c r="E603" s="1289"/>
      <c r="F603" s="1289"/>
      <c r="I603" s="490"/>
    </row>
    <row r="604" spans="1:9">
      <c r="A604" s="484"/>
      <c r="B604" s="484"/>
      <c r="D604" s="499"/>
      <c r="I604" s="490"/>
    </row>
    <row r="605" spans="1:9">
      <c r="A605" s="1288" t="s">
        <v>1054</v>
      </c>
      <c r="B605" s="1288"/>
      <c r="C605" s="1288"/>
      <c r="D605" s="1288"/>
      <c r="E605" s="1288"/>
      <c r="F605" s="1288"/>
      <c r="G605" s="1288"/>
      <c r="H605" s="1028"/>
      <c r="I605" s="1153"/>
    </row>
    <row r="606" spans="1:9">
      <c r="I606" s="490"/>
    </row>
    <row r="607" spans="1:9">
      <c r="D607" s="1293" t="s">
        <v>1106</v>
      </c>
      <c r="E607" s="1293"/>
      <c r="F607" s="1293"/>
      <c r="I607" s="490"/>
    </row>
    <row r="608" spans="1:9">
      <c r="D608" s="1294" t="s">
        <v>1107</v>
      </c>
      <c r="E608" s="1294"/>
      <c r="F608" s="1294"/>
      <c r="I608" s="490"/>
    </row>
    <row r="609" spans="1:9">
      <c r="D609" s="444"/>
      <c r="I609" s="490"/>
    </row>
    <row r="610" spans="1:9" ht="14.25" customHeight="1">
      <c r="A610" s="484"/>
      <c r="B610" s="485" t="s">
        <v>2711</v>
      </c>
      <c r="D610" s="1314" t="s">
        <v>1906</v>
      </c>
      <c r="E610" s="1314"/>
      <c r="F610" s="1314"/>
      <c r="I610" s="490"/>
    </row>
    <row r="611" spans="1:9">
      <c r="D611" s="1314"/>
      <c r="E611" s="1314"/>
      <c r="F611" s="1314"/>
      <c r="I611" s="490"/>
    </row>
    <row r="612" spans="1:9">
      <c r="D612" s="385"/>
      <c r="E612" s="1036" t="s">
        <v>1907</v>
      </c>
      <c r="F612" s="385"/>
      <c r="I612" s="490"/>
    </row>
    <row r="613" spans="1:9">
      <c r="I613" s="490"/>
    </row>
    <row r="614" spans="1:9">
      <c r="A614" s="1288" t="s">
        <v>1055</v>
      </c>
      <c r="B614" s="1288"/>
      <c r="C614" s="1288"/>
      <c r="D614" s="1288"/>
      <c r="E614" s="1288"/>
      <c r="F614" s="1288"/>
      <c r="G614" s="1288"/>
      <c r="H614" s="1028"/>
      <c r="I614" s="1153"/>
    </row>
    <row r="615" spans="1:9">
      <c r="A615" s="446"/>
      <c r="B615" s="446"/>
      <c r="I615" s="490"/>
    </row>
    <row r="616" spans="1:9">
      <c r="A616" s="482"/>
      <c r="B616" s="482"/>
      <c r="C616" s="482"/>
      <c r="D616" s="1322" t="s">
        <v>1108</v>
      </c>
      <c r="E616" s="1322"/>
      <c r="F616" s="1322"/>
      <c r="I616" s="490"/>
    </row>
    <row r="617" spans="1:9">
      <c r="A617" s="482"/>
      <c r="B617" s="482"/>
      <c r="C617" s="482"/>
      <c r="D617" s="1322"/>
      <c r="E617" s="1322"/>
      <c r="F617" s="1322"/>
      <c r="I617" s="490"/>
    </row>
    <row r="618" spans="1:9">
      <c r="C618" s="483"/>
      <c r="D618" s="1294" t="s">
        <v>1109</v>
      </c>
      <c r="E618" s="1294"/>
      <c r="F618" s="1294"/>
      <c r="I618" s="490"/>
    </row>
    <row r="619" spans="1:9">
      <c r="C619" s="483"/>
      <c r="D619" s="444"/>
      <c r="E619" s="444"/>
      <c r="F619" s="444"/>
      <c r="I619" s="490"/>
    </row>
    <row r="620" spans="1:9" ht="12.75" customHeight="1">
      <c r="A620" s="490"/>
      <c r="B620" s="485" t="s">
        <v>2711</v>
      </c>
      <c r="D620" s="1310" t="s">
        <v>1110</v>
      </c>
      <c r="E620" s="1310"/>
      <c r="F620" s="1310"/>
      <c r="I620" s="490"/>
    </row>
    <row r="621" spans="1:9">
      <c r="D621" s="1310"/>
      <c r="E621" s="1310"/>
      <c r="F621" s="1310"/>
      <c r="I621" s="490"/>
    </row>
    <row r="622" spans="1:9">
      <c r="I622" s="490"/>
    </row>
    <row r="623" spans="1:9">
      <c r="B623" s="485" t="s">
        <v>2711</v>
      </c>
      <c r="D623" s="1310" t="s">
        <v>1111</v>
      </c>
      <c r="E623" s="1310"/>
      <c r="F623" s="1310"/>
      <c r="I623" s="490"/>
    </row>
    <row r="624" spans="1:9">
      <c r="C624" s="500"/>
      <c r="D624" s="1310"/>
      <c r="E624" s="1310"/>
      <c r="F624" s="1310"/>
      <c r="I624" s="490"/>
    </row>
    <row r="625" spans="1:9">
      <c r="C625" s="500"/>
      <c r="I625" s="490"/>
    </row>
    <row r="626" spans="1:9">
      <c r="B626" s="485" t="s">
        <v>2712</v>
      </c>
      <c r="C626" s="500"/>
      <c r="D626" s="1310" t="s">
        <v>1112</v>
      </c>
      <c r="E626" s="1310"/>
      <c r="F626" s="1310"/>
      <c r="I626" s="490"/>
    </row>
    <row r="627" spans="1:9">
      <c r="C627" s="500"/>
      <c r="D627" s="1310"/>
      <c r="E627" s="1310"/>
      <c r="F627" s="1310"/>
      <c r="I627" s="500"/>
    </row>
    <row r="628" spans="1:9">
      <c r="C628" s="500"/>
      <c r="I628" s="490"/>
    </row>
    <row r="629" spans="1:9">
      <c r="A629" s="1288" t="s">
        <v>1056</v>
      </c>
      <c r="B629" s="1288"/>
      <c r="C629" s="1288"/>
      <c r="D629" s="1288"/>
      <c r="E629" s="1288"/>
      <c r="F629" s="1288"/>
      <c r="G629" s="1288"/>
      <c r="H629" s="1028"/>
      <c r="I629" s="1153"/>
    </row>
    <row r="630" spans="1:9">
      <c r="A630" s="482"/>
      <c r="B630" s="482"/>
      <c r="C630" s="482"/>
      <c r="I630" s="490"/>
    </row>
    <row r="631" spans="1:9">
      <c r="C631" s="490"/>
      <c r="D631" s="1293" t="s">
        <v>1113</v>
      </c>
      <c r="E631" s="1293"/>
      <c r="F631" s="1293"/>
      <c r="I631" s="490"/>
    </row>
    <row r="632" spans="1:9">
      <c r="A632" s="490"/>
      <c r="B632" s="490"/>
      <c r="D632" s="404"/>
      <c r="I632" s="490"/>
    </row>
    <row r="633" spans="1:9" ht="14.25" customHeight="1">
      <c r="A633" s="484"/>
      <c r="B633" s="485" t="s">
        <v>2711</v>
      </c>
      <c r="D633" s="1314" t="s">
        <v>2064</v>
      </c>
      <c r="E633" s="1314"/>
      <c r="F633" s="1314"/>
      <c r="I633" s="490"/>
    </row>
    <row r="634" spans="1:9">
      <c r="D634" s="1314"/>
      <c r="E634" s="1314"/>
      <c r="F634" s="1314"/>
      <c r="I634" s="490"/>
    </row>
    <row r="635" spans="1:9">
      <c r="D635" s="385"/>
      <c r="E635" s="1036" t="s">
        <v>1909</v>
      </c>
      <c r="F635" s="385"/>
      <c r="I635" s="490"/>
    </row>
    <row r="636" spans="1:9">
      <c r="D636" s="1285" t="s">
        <v>1908</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c r="A640" s="484"/>
      <c r="B640" s="485" t="s">
        <v>2712</v>
      </c>
      <c r="D640" s="1285" t="s">
        <v>1114</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c r="A643" s="484"/>
      <c r="B643" s="485" t="s">
        <v>2712</v>
      </c>
      <c r="C643" s="487"/>
      <c r="D643" s="1285" t="s">
        <v>1224</v>
      </c>
      <c r="E643" s="1285"/>
      <c r="F643" s="1285"/>
      <c r="I643" s="490"/>
    </row>
    <row r="644" spans="1:9">
      <c r="A644" s="484"/>
      <c r="B644" s="484"/>
      <c r="C644" s="487"/>
      <c r="D644" s="1285"/>
      <c r="E644" s="1285"/>
      <c r="F644" s="1285"/>
      <c r="I644" s="490"/>
    </row>
    <row r="645" spans="1:9">
      <c r="A645" s="484"/>
      <c r="B645" s="484"/>
      <c r="C645" s="487"/>
      <c r="D645" s="1285"/>
      <c r="E645" s="1285"/>
      <c r="F645" s="1285"/>
      <c r="I645" s="490"/>
    </row>
    <row r="646" spans="1:9">
      <c r="A646" s="487"/>
      <c r="B646" s="485" t="s">
        <v>2712</v>
      </c>
      <c r="C646" s="487"/>
      <c r="D646" s="1286" t="s">
        <v>1115</v>
      </c>
      <c r="E646" s="1286"/>
      <c r="F646" s="1286"/>
      <c r="I646" s="490"/>
    </row>
    <row r="647" spans="1:9">
      <c r="A647" s="487"/>
      <c r="B647" s="487"/>
      <c r="C647" s="487"/>
      <c r="D647" s="446"/>
      <c r="E647" s="446"/>
      <c r="F647" s="446"/>
      <c r="I647" s="490"/>
    </row>
    <row r="648" spans="1:9">
      <c r="A648" s="1288" t="s">
        <v>1057</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1145</v>
      </c>
      <c r="E650" s="1293"/>
      <c r="F650" s="1293"/>
      <c r="I650" s="490"/>
    </row>
    <row r="651" spans="1:9">
      <c r="A651" s="483"/>
      <c r="B651" s="483"/>
      <c r="C651" s="483"/>
      <c r="D651" s="1286" t="s">
        <v>1146</v>
      </c>
      <c r="E651" s="1286"/>
      <c r="F651" s="1286"/>
      <c r="I651" s="490"/>
    </row>
    <row r="652" spans="1:9">
      <c r="A652" s="483"/>
      <c r="B652" s="483"/>
      <c r="C652" s="483"/>
      <c r="D652" s="446"/>
      <c r="E652" s="446"/>
      <c r="F652" s="446"/>
      <c r="I652" s="490"/>
    </row>
    <row r="653" spans="1:9" ht="12.75" customHeight="1">
      <c r="B653" s="485" t="s">
        <v>2712</v>
      </c>
      <c r="C653" s="487"/>
      <c r="D653" s="1285" t="s">
        <v>1280</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5" customHeight="1">
      <c r="A657" s="484"/>
      <c r="B657" s="484"/>
      <c r="C657" s="487"/>
      <c r="D657" s="385"/>
      <c r="E657" s="385"/>
      <c r="F657" s="385"/>
      <c r="I657" s="490"/>
    </row>
    <row r="658" spans="1:9" ht="12.75" customHeight="1">
      <c r="A658" s="483"/>
      <c r="B658" s="485" t="s">
        <v>2712</v>
      </c>
      <c r="C658" s="487"/>
      <c r="D658" s="1285" t="s">
        <v>1282</v>
      </c>
      <c r="E658" s="1285"/>
      <c r="F658" s="1285"/>
      <c r="I658" s="490"/>
    </row>
    <row r="659" spans="1:9">
      <c r="A659" s="483"/>
      <c r="B659" s="484"/>
      <c r="C659" s="487"/>
      <c r="D659" s="1285"/>
      <c r="E659" s="1285"/>
      <c r="F659" s="1285"/>
      <c r="I659" s="490"/>
    </row>
    <row r="660" spans="1:9">
      <c r="A660" s="483"/>
      <c r="B660" s="484"/>
      <c r="C660" s="487"/>
      <c r="D660" s="1285"/>
      <c r="E660" s="1285"/>
      <c r="F660" s="1285"/>
      <c r="I660" s="490"/>
    </row>
    <row r="661" spans="1:9">
      <c r="A661" s="483"/>
      <c r="B661" s="484"/>
      <c r="C661" s="487"/>
      <c r="D661" s="1285"/>
      <c r="E661" s="1285"/>
      <c r="F661" s="1285"/>
      <c r="I661" s="490"/>
    </row>
    <row r="662" spans="1:9">
      <c r="A662" s="483"/>
      <c r="B662" s="484"/>
      <c r="C662" s="487"/>
      <c r="D662" s="1285"/>
      <c r="E662" s="1285"/>
      <c r="F662" s="1285"/>
      <c r="I662" s="490"/>
    </row>
    <row r="663" spans="1:9" ht="14.25" customHeight="1">
      <c r="A663" s="483"/>
      <c r="B663" s="484"/>
      <c r="C663" s="487"/>
      <c r="F663" s="386"/>
      <c r="I663" s="490"/>
    </row>
    <row r="664" spans="1:9" ht="12.75" customHeight="1">
      <c r="A664" s="483"/>
      <c r="B664" s="485" t="s">
        <v>2712</v>
      </c>
      <c r="C664" s="487"/>
      <c r="D664" s="1285" t="s">
        <v>1281</v>
      </c>
      <c r="E664" s="1285"/>
      <c r="F664" s="1285"/>
      <c r="I664" s="490"/>
    </row>
    <row r="665" spans="1:9">
      <c r="A665" s="483"/>
      <c r="B665" s="484"/>
      <c r="C665" s="487"/>
      <c r="D665" s="1285"/>
      <c r="E665" s="1285"/>
      <c r="F665" s="1285"/>
      <c r="I665" s="490"/>
    </row>
    <row r="666" spans="1:9">
      <c r="A666" s="484"/>
      <c r="B666" s="484"/>
      <c r="C666" s="487"/>
      <c r="D666" s="1285"/>
      <c r="E666" s="1285"/>
      <c r="F666" s="1285"/>
      <c r="I666" s="490"/>
    </row>
    <row r="667" spans="1:9">
      <c r="A667" s="484"/>
      <c r="B667" s="484"/>
      <c r="C667" s="487"/>
      <c r="D667" s="1285"/>
      <c r="E667" s="1285"/>
      <c r="F667" s="1285"/>
      <c r="I667" s="490"/>
    </row>
    <row r="668" spans="1:9">
      <c r="A668" s="484"/>
      <c r="B668" s="484"/>
      <c r="C668" s="487"/>
      <c r="D668" s="445"/>
      <c r="E668" s="445"/>
      <c r="F668" s="445"/>
      <c r="I668" s="490"/>
    </row>
    <row r="669" spans="1:9" ht="12.75" customHeight="1">
      <c r="A669" s="483"/>
      <c r="B669" s="485" t="s">
        <v>2712</v>
      </c>
      <c r="C669" s="487"/>
      <c r="D669" s="1285" t="s">
        <v>2065</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1058</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1075</v>
      </c>
      <c r="E683" s="1286"/>
      <c r="F683" s="1286"/>
      <c r="H683" s="501"/>
      <c r="I683" s="483"/>
      <c r="J683" s="501"/>
      <c r="K683" s="501"/>
    </row>
    <row r="684" spans="1:11">
      <c r="A684" s="483"/>
      <c r="B684" s="483"/>
      <c r="C684" s="483"/>
      <c r="H684" s="501"/>
      <c r="I684" s="483"/>
      <c r="J684" s="501"/>
      <c r="K684" s="501"/>
    </row>
    <row r="685" spans="1:11">
      <c r="A685" s="484"/>
      <c r="B685" s="485" t="s">
        <v>2711</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c r="A690" s="484"/>
      <c r="B690" s="485" t="s">
        <v>2712</v>
      </c>
      <c r="C690" s="483"/>
      <c r="D690" s="1285" t="s">
        <v>2066</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c r="A694" s="484"/>
      <c r="B694" s="485" t="s">
        <v>2711</v>
      </c>
      <c r="C694" s="483"/>
      <c r="D694" s="1286" t="s">
        <v>917</v>
      </c>
      <c r="E694" s="1286"/>
      <c r="F694" s="1286"/>
      <c r="H694" s="501"/>
      <c r="I694" s="483"/>
      <c r="J694" s="501"/>
      <c r="K694" s="501"/>
    </row>
    <row r="695" spans="1:11">
      <c r="A695" s="484"/>
      <c r="B695" s="484"/>
      <c r="C695" s="483"/>
      <c r="D695" s="1286" t="s">
        <v>894</v>
      </c>
      <c r="E695" s="1286"/>
      <c r="F695" s="1286"/>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c r="A698" s="484"/>
      <c r="B698" s="485" t="s">
        <v>2712</v>
      </c>
      <c r="C698" s="483"/>
      <c r="D698" s="1286" t="s">
        <v>2468</v>
      </c>
      <c r="E698" s="1286"/>
      <c r="F698" s="1286"/>
      <c r="H698" s="501"/>
      <c r="I698" s="483"/>
      <c r="J698" s="501"/>
      <c r="K698" s="501"/>
    </row>
    <row r="699" spans="1:11">
      <c r="A699" s="484"/>
      <c r="B699" s="484"/>
      <c r="C699" s="483"/>
      <c r="D699" s="1286" t="s">
        <v>894</v>
      </c>
      <c r="E699" s="1286"/>
      <c r="F699" s="1286"/>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2712</v>
      </c>
      <c r="C702" s="483"/>
      <c r="D702" s="1285" t="s">
        <v>2243</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2712</v>
      </c>
      <c r="C709" s="483"/>
      <c r="D709" s="1285" t="s">
        <v>1200</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c r="A712" s="484"/>
      <c r="B712" s="485" t="s">
        <v>2712</v>
      </c>
      <c r="C712" s="483"/>
      <c r="D712" s="1285" t="s">
        <v>1076</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2712</v>
      </c>
      <c r="C725" s="483"/>
      <c r="D725" s="1285" t="s">
        <v>2461</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2712</v>
      </c>
      <c r="C729" s="483"/>
      <c r="D729" s="1285" t="s">
        <v>2460</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2712</v>
      </c>
      <c r="C733" s="483"/>
      <c r="D733" s="1285" t="s">
        <v>2459</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c r="A738" s="484"/>
      <c r="B738" s="485" t="s">
        <v>2712</v>
      </c>
      <c r="C738" s="483"/>
      <c r="D738" s="1285" t="s">
        <v>1077</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c r="A744" s="484"/>
      <c r="B744" s="485" t="s">
        <v>2711</v>
      </c>
      <c r="C744" s="483"/>
      <c r="D744" s="1285" t="s">
        <v>2144</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2073</v>
      </c>
      <c r="E751" s="1323"/>
      <c r="F751" s="1323"/>
      <c r="H751" s="501"/>
      <c r="I751" s="483"/>
      <c r="J751" s="501"/>
      <c r="K751" s="501"/>
    </row>
    <row r="752" spans="1:11">
      <c r="A752" s="483"/>
      <c r="B752" s="483"/>
      <c r="C752" s="483"/>
      <c r="D752" s="341"/>
      <c r="H752" s="501"/>
      <c r="I752" s="483"/>
      <c r="J752" s="501"/>
      <c r="K752" s="501"/>
    </row>
    <row r="753" spans="1:11">
      <c r="A753" s="1292" t="s">
        <v>1059</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75" customHeight="1">
      <c r="C755" s="483"/>
      <c r="D755" s="1287" t="s">
        <v>1069</v>
      </c>
      <c r="E755" s="1287"/>
      <c r="F755" s="1287"/>
      <c r="G755" s="501"/>
      <c r="H755" s="501"/>
      <c r="I755" s="483"/>
      <c r="J755" s="501"/>
      <c r="K755" s="501"/>
    </row>
    <row r="756" spans="1:11">
      <c r="A756" s="483"/>
      <c r="B756" s="483"/>
      <c r="C756" s="483"/>
      <c r="D756" s="1291" t="s">
        <v>1070</v>
      </c>
      <c r="E756" s="1291"/>
      <c r="F756" s="1291"/>
      <c r="G756" s="501"/>
      <c r="H756" s="501"/>
      <c r="I756" s="483"/>
      <c r="J756" s="501"/>
      <c r="K756" s="501"/>
    </row>
    <row r="757" spans="1:11">
      <c r="A757" s="483"/>
      <c r="B757" s="483"/>
      <c r="C757" s="483"/>
      <c r="G757" s="501"/>
      <c r="H757" s="501"/>
      <c r="I757" s="483"/>
      <c r="J757" s="501"/>
      <c r="K757" s="501"/>
    </row>
    <row r="758" spans="1:11">
      <c r="A758" s="484"/>
      <c r="B758" s="485" t="s">
        <v>2711</v>
      </c>
      <c r="D758" s="1285" t="s">
        <v>1071</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5"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c r="A765" s="503"/>
      <c r="B765" s="485" t="s">
        <v>2712</v>
      </c>
      <c r="C765" s="504"/>
      <c r="D765" s="1285" t="s">
        <v>1240</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c r="A770" s="484"/>
      <c r="B770" s="485" t="s">
        <v>2711</v>
      </c>
      <c r="C770" s="504"/>
      <c r="D770" s="1310" t="s">
        <v>1241</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c r="A774" s="484"/>
      <c r="B774" s="485" t="s">
        <v>2712</v>
      </c>
      <c r="D774" s="1285" t="s">
        <v>1197</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2712</v>
      </c>
      <c r="D777" s="1285" t="s">
        <v>1214</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1799</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1853</v>
      </c>
      <c r="E783" s="1316"/>
      <c r="F783" s="1316"/>
      <c r="G783" s="3"/>
      <c r="I783" s="490"/>
    </row>
    <row r="784" spans="1:11">
      <c r="A784" s="57"/>
      <c r="B784" s="57"/>
      <c r="C784" s="354"/>
      <c r="D784" s="1297" t="s">
        <v>1753</v>
      </c>
      <c r="E784" s="1297"/>
      <c r="F784" s="1297"/>
      <c r="G784" s="3"/>
      <c r="I784" s="490"/>
    </row>
    <row r="785" spans="1:9">
      <c r="A785" s="57"/>
      <c r="B785" s="57"/>
      <c r="C785" s="354"/>
      <c r="D785" s="447"/>
      <c r="E785" s="447"/>
      <c r="F785" s="447"/>
      <c r="G785" s="3"/>
      <c r="I785" s="490"/>
    </row>
    <row r="786" spans="1:9">
      <c r="A786" s="57"/>
      <c r="B786" s="485" t="s">
        <v>2711</v>
      </c>
      <c r="C786" s="354"/>
      <c r="D786" s="1318" t="s">
        <v>1754</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2712</v>
      </c>
      <c r="C790" s="172"/>
      <c r="D790" s="1318" t="s">
        <v>1755</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c r="A794" s="175"/>
      <c r="B794" s="485" t="s">
        <v>2712</v>
      </c>
      <c r="C794" s="989"/>
      <c r="D794" s="1318" t="s">
        <v>1756</v>
      </c>
      <c r="E794" s="1318"/>
      <c r="F794" s="1318"/>
      <c r="G794" s="988"/>
      <c r="I794" s="483"/>
    </row>
    <row r="795" spans="1:9">
      <c r="A795" s="175"/>
      <c r="B795" s="175"/>
      <c r="C795" s="989"/>
      <c r="D795" s="1318"/>
      <c r="E795" s="1318"/>
      <c r="F795" s="1318"/>
      <c r="G795" s="988"/>
      <c r="I795" s="490"/>
    </row>
    <row r="796" spans="1:9">
      <c r="A796" s="175"/>
      <c r="B796" s="175"/>
      <c r="C796" s="989"/>
      <c r="D796" s="1318"/>
      <c r="E796" s="1318"/>
      <c r="F796" s="1318"/>
      <c r="G796" s="988"/>
      <c r="I796" s="490"/>
    </row>
    <row r="797" spans="1:9">
      <c r="A797" s="175"/>
      <c r="B797" s="175"/>
      <c r="C797" s="989"/>
      <c r="D797" s="118"/>
      <c r="E797" s="3"/>
      <c r="F797" s="3"/>
      <c r="G797" s="988"/>
      <c r="I797" s="490"/>
    </row>
    <row r="798" spans="1:9">
      <c r="A798" s="175"/>
      <c r="B798" s="485" t="s">
        <v>2712</v>
      </c>
      <c r="C798" s="989"/>
      <c r="D798" s="1318" t="s">
        <v>1757</v>
      </c>
      <c r="E798" s="1318"/>
      <c r="F798" s="1318"/>
      <c r="G798" s="988"/>
      <c r="I798" s="483"/>
    </row>
    <row r="799" spans="1:9">
      <c r="A799" s="175"/>
      <c r="B799" s="175"/>
      <c r="C799" s="989"/>
      <c r="D799" s="1318"/>
      <c r="E799" s="1318"/>
      <c r="F799" s="1318"/>
      <c r="G799" s="988"/>
      <c r="I799" s="490"/>
    </row>
    <row r="800" spans="1:9">
      <c r="A800" s="175"/>
      <c r="B800" s="175"/>
      <c r="C800" s="989"/>
      <c r="D800" s="1318"/>
      <c r="E800" s="1318"/>
      <c r="F800" s="1318"/>
      <c r="G800" s="988"/>
      <c r="I800" s="490"/>
    </row>
    <row r="801" spans="1:9">
      <c r="A801" s="175"/>
      <c r="B801" s="175"/>
      <c r="C801" s="989"/>
      <c r="D801" s="1318"/>
      <c r="E801" s="1318"/>
      <c r="F801" s="1318"/>
      <c r="G801" s="988"/>
      <c r="I801" s="490"/>
    </row>
    <row r="802" spans="1:9">
      <c r="A802" s="175"/>
      <c r="B802" s="175"/>
      <c r="C802" s="989"/>
      <c r="D802" s="1318"/>
      <c r="E802" s="1318"/>
      <c r="F802" s="1318"/>
      <c r="G802" s="988"/>
      <c r="I802" s="490"/>
    </row>
    <row r="803" spans="1:9">
      <c r="A803" s="175"/>
      <c r="B803" s="175"/>
      <c r="C803" s="989"/>
      <c r="D803" s="1318"/>
      <c r="E803" s="1318"/>
      <c r="F803" s="1318"/>
      <c r="G803" s="988"/>
      <c r="I803" s="490"/>
    </row>
    <row r="804" spans="1:9">
      <c r="A804" s="175"/>
      <c r="B804" s="175"/>
      <c r="C804" s="989"/>
      <c r="D804" s="1318" t="s">
        <v>1800</v>
      </c>
      <c r="E804" s="1318"/>
      <c r="F804" s="1318"/>
      <c r="G804" s="988"/>
      <c r="I804" s="490"/>
    </row>
    <row r="805" spans="1:9">
      <c r="A805" s="175"/>
      <c r="B805" s="175"/>
      <c r="C805" s="989"/>
      <c r="D805" s="1318"/>
      <c r="E805" s="1318"/>
      <c r="F805" s="1318"/>
      <c r="G805" s="988"/>
      <c r="I805" s="490"/>
    </row>
    <row r="806" spans="1:9">
      <c r="A806" s="175"/>
      <c r="B806" s="175"/>
      <c r="C806" s="989"/>
      <c r="D806" s="1318"/>
      <c r="E806" s="1318"/>
      <c r="F806" s="1318"/>
      <c r="G806" s="988"/>
      <c r="I806" s="490"/>
    </row>
    <row r="807" spans="1:9">
      <c r="A807" s="175"/>
      <c r="B807" s="354"/>
      <c r="C807" s="989"/>
      <c r="D807" s="990"/>
      <c r="E807" s="990"/>
      <c r="F807" s="990"/>
      <c r="G807" s="988"/>
      <c r="I807" s="490"/>
    </row>
    <row r="808" spans="1:9">
      <c r="A808" s="175"/>
      <c r="B808" s="485" t="s">
        <v>2712</v>
      </c>
      <c r="C808" s="989"/>
      <c r="D808" s="1318" t="s">
        <v>1758</v>
      </c>
      <c r="E808" s="1318"/>
      <c r="F808" s="1318"/>
      <c r="G808" s="988"/>
      <c r="I808" s="483"/>
    </row>
    <row r="809" spans="1:9">
      <c r="A809" s="175"/>
      <c r="B809" s="175"/>
      <c r="C809" s="989"/>
      <c r="D809" s="1318"/>
      <c r="E809" s="1318"/>
      <c r="F809" s="1318"/>
      <c r="G809" s="988"/>
      <c r="I809" s="490"/>
    </row>
    <row r="810" spans="1:9">
      <c r="A810" s="175"/>
      <c r="B810" s="175"/>
      <c r="C810" s="989"/>
      <c r="D810" s="1318"/>
      <c r="E810" s="1318"/>
      <c r="F810" s="1318"/>
      <c r="G810" s="988"/>
      <c r="I810" s="490"/>
    </row>
    <row r="811" spans="1:9">
      <c r="A811" s="175"/>
      <c r="B811" s="175"/>
      <c r="C811" s="989"/>
      <c r="D811" s="1318"/>
      <c r="E811" s="1318"/>
      <c r="F811" s="1318"/>
      <c r="G811" s="988"/>
      <c r="I811" s="490"/>
    </row>
    <row r="812" spans="1:9">
      <c r="A812" s="175"/>
      <c r="B812" s="175"/>
      <c r="C812" s="989"/>
      <c r="D812" s="1318"/>
      <c r="E812" s="1318"/>
      <c r="F812" s="1318"/>
      <c r="G812" s="988"/>
      <c r="I812" s="490"/>
    </row>
    <row r="813" spans="1:9">
      <c r="A813" s="175"/>
      <c r="B813" s="175"/>
      <c r="C813" s="989"/>
      <c r="D813" s="1318"/>
      <c r="E813" s="1318"/>
      <c r="F813" s="1318"/>
      <c r="G813" s="988"/>
      <c r="I813" s="490"/>
    </row>
    <row r="814" spans="1:9">
      <c r="A814" s="175"/>
      <c r="B814" s="175"/>
      <c r="C814" s="989"/>
      <c r="D814" s="982"/>
      <c r="E814" s="982"/>
      <c r="F814" s="982"/>
      <c r="G814" s="988"/>
      <c r="I814" s="490"/>
    </row>
    <row r="815" spans="1:9">
      <c r="A815" s="175"/>
      <c r="B815" s="485" t="s">
        <v>2712</v>
      </c>
      <c r="C815" s="989"/>
      <c r="D815" s="1318" t="s">
        <v>1759</v>
      </c>
      <c r="E815" s="1318"/>
      <c r="F815" s="1318"/>
      <c r="G815" s="988"/>
      <c r="I815" s="483"/>
    </row>
    <row r="816" spans="1:9">
      <c r="A816" s="175"/>
      <c r="B816" s="175"/>
      <c r="C816" s="989"/>
      <c r="D816" s="1318"/>
      <c r="E816" s="1318"/>
      <c r="F816" s="1318"/>
      <c r="G816" s="988"/>
      <c r="I816" s="490"/>
    </row>
    <row r="817" spans="1:9">
      <c r="A817" s="175"/>
      <c r="B817" s="175"/>
      <c r="C817" s="989"/>
      <c r="D817" s="1318"/>
      <c r="E817" s="1318"/>
      <c r="F817" s="1318"/>
      <c r="G817" s="988"/>
      <c r="I817" s="490"/>
    </row>
    <row r="818" spans="1:9">
      <c r="A818" s="175"/>
      <c r="B818" s="175"/>
      <c r="C818" s="989"/>
      <c r="D818" s="1318"/>
      <c r="E818" s="1318"/>
      <c r="F818" s="1318"/>
      <c r="G818" s="988"/>
      <c r="I818" s="490"/>
    </row>
    <row r="819" spans="1:9">
      <c r="A819" s="175"/>
      <c r="B819" s="175"/>
      <c r="C819" s="989"/>
      <c r="D819" s="1318"/>
      <c r="E819" s="1318"/>
      <c r="F819" s="1318"/>
      <c r="G819" s="988"/>
      <c r="I819" s="490"/>
    </row>
    <row r="820" spans="1:9">
      <c r="A820" s="175"/>
      <c r="B820" s="175"/>
      <c r="C820" s="989"/>
      <c r="D820" s="1318"/>
      <c r="E820" s="1318"/>
      <c r="F820" s="1318"/>
      <c r="G820" s="988"/>
      <c r="I820" s="490"/>
    </row>
    <row r="821" spans="1:9">
      <c r="A821" s="175"/>
      <c r="B821" s="175"/>
      <c r="C821" s="989"/>
      <c r="D821" s="982"/>
      <c r="E821" s="982"/>
      <c r="F821" s="982"/>
      <c r="G821" s="988"/>
      <c r="I821" s="490"/>
    </row>
    <row r="822" spans="1:9">
      <c r="A822" s="175"/>
      <c r="B822" s="485" t="s">
        <v>2712</v>
      </c>
      <c r="C822" s="989"/>
      <c r="D822" s="1290" t="s">
        <v>1760</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1761</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1801</v>
      </c>
      <c r="E831" s="1315"/>
      <c r="F831" s="1315"/>
      <c r="G831" s="3"/>
      <c r="I831" s="490"/>
    </row>
    <row r="832" spans="1:9" ht="14.25" customHeight="1">
      <c r="A832" s="175"/>
      <c r="B832" s="175"/>
      <c r="C832" s="354"/>
      <c r="D832" s="1262" t="s">
        <v>1762</v>
      </c>
      <c r="E832" s="1262"/>
      <c r="F832" s="1262"/>
      <c r="G832" s="3"/>
      <c r="I832" s="490"/>
    </row>
    <row r="833" spans="1:9" ht="12.75" customHeight="1">
      <c r="A833" s="175"/>
      <c r="B833" s="175"/>
      <c r="C833" s="354"/>
      <c r="D833" s="441"/>
      <c r="E833" s="441"/>
      <c r="F833" s="441"/>
      <c r="G833" s="3"/>
      <c r="I833" s="490"/>
    </row>
    <row r="834" spans="1:9" ht="12.75" customHeight="1">
      <c r="A834" s="354"/>
      <c r="B834" s="485" t="s">
        <v>2711</v>
      </c>
      <c r="C834" s="989"/>
      <c r="D834" s="1262" t="s">
        <v>1763</v>
      </c>
      <c r="E834" s="1262"/>
      <c r="F834" s="1262"/>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0" t="s">
        <v>2074</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2711</v>
      </c>
      <c r="C848" s="989"/>
      <c r="D848" s="1262" t="s">
        <v>1764</v>
      </c>
      <c r="E848" s="1262"/>
      <c r="F848" s="1262"/>
      <c r="G848" s="3"/>
      <c r="I848" s="490" t="s">
        <v>1881</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2711</v>
      </c>
      <c r="C852" s="989"/>
      <c r="D852" s="1315" t="s">
        <v>1765</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2067</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2712</v>
      </c>
      <c r="C861" s="989"/>
      <c r="D861" s="1262" t="s">
        <v>1766</v>
      </c>
      <c r="E861" s="1262"/>
      <c r="F861" s="1262"/>
      <c r="G861" s="3"/>
      <c r="I861" s="490" t="s">
        <v>1879</v>
      </c>
    </row>
    <row r="862" spans="1:9" ht="12.75" customHeight="1">
      <c r="A862" s="175"/>
      <c r="B862" s="175"/>
      <c r="C862" s="989"/>
      <c r="D862" s="1262" t="s">
        <v>1767</v>
      </c>
      <c r="E862" s="1262"/>
      <c r="F862" s="1262"/>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2712</v>
      </c>
      <c r="C865" s="989"/>
      <c r="D865" s="1262" t="s">
        <v>1768</v>
      </c>
      <c r="E865" s="1262"/>
      <c r="F865" s="1262"/>
      <c r="G865" s="3"/>
      <c r="I865" s="490" t="s">
        <v>1882</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1802</v>
      </c>
      <c r="E872" s="1324"/>
      <c r="F872" s="1324"/>
      <c r="G872" s="988"/>
      <c r="I872" s="490"/>
    </row>
    <row r="873" spans="1:9" ht="12.75" customHeight="1">
      <c r="A873" s="354"/>
      <c r="B873" s="354"/>
      <c r="C873" s="174"/>
      <c r="D873" s="1319" t="s">
        <v>1770</v>
      </c>
      <c r="E873" s="1319"/>
      <c r="F873" s="1319"/>
      <c r="G873" s="988"/>
      <c r="I873" s="490"/>
    </row>
    <row r="874" spans="1:9" ht="12.75" customHeight="1">
      <c r="A874" s="354"/>
      <c r="B874" s="354"/>
      <c r="C874" s="174"/>
      <c r="D874" s="995"/>
      <c r="E874" s="995"/>
      <c r="F874" s="995"/>
      <c r="G874" s="988"/>
      <c r="I874" s="490"/>
    </row>
    <row r="875" spans="1:9" ht="12.75" customHeight="1">
      <c r="A875" s="175"/>
      <c r="B875" s="485" t="s">
        <v>2711</v>
      </c>
      <c r="C875" s="354"/>
      <c r="D875" s="1302" t="s">
        <v>1771</v>
      </c>
      <c r="E875" s="1302"/>
      <c r="F875" s="1302"/>
      <c r="G875" s="988"/>
      <c r="I875" s="490" t="s">
        <v>1879</v>
      </c>
    </row>
    <row r="876" spans="1:9" ht="12.75" customHeight="1">
      <c r="A876" s="354"/>
      <c r="B876" s="354"/>
      <c r="C876" s="354"/>
      <c r="D876" s="2" t="s">
        <v>1746</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2711</v>
      </c>
      <c r="C878" s="354"/>
      <c r="D878" s="1262" t="s">
        <v>1772</v>
      </c>
      <c r="E878" s="1312"/>
      <c r="F878" s="1312"/>
      <c r="G878" s="3"/>
      <c r="I878" s="490" t="s">
        <v>1882</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2712</v>
      </c>
      <c r="C881" s="354"/>
      <c r="D881" s="1313" t="s">
        <v>1773</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2067</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2712</v>
      </c>
      <c r="C890" s="354"/>
      <c r="D890" s="1303" t="s">
        <v>1766</v>
      </c>
      <c r="E890" s="1303"/>
      <c r="F890" s="1303"/>
      <c r="G890" s="988"/>
      <c r="I890" s="490"/>
    </row>
    <row r="891" spans="1:9" ht="12.75" customHeight="1">
      <c r="A891" s="175"/>
      <c r="B891" s="175"/>
      <c r="C891" s="354"/>
      <c r="D891" s="1303" t="s">
        <v>1767</v>
      </c>
      <c r="E891" s="1303"/>
      <c r="F891" s="1303"/>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2712</v>
      </c>
      <c r="C894" s="354"/>
      <c r="D894" s="1262" t="s">
        <v>1768</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1803</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1809</v>
      </c>
      <c r="E901" s="1327"/>
      <c r="F901" s="1327"/>
      <c r="G901" s="57"/>
      <c r="I901" s="490"/>
    </row>
    <row r="902" spans="1:9" ht="12.75" customHeight="1">
      <c r="A902" s="57"/>
      <c r="B902" s="57"/>
      <c r="C902" s="57"/>
      <c r="D902" s="981"/>
      <c r="E902" s="981"/>
      <c r="F902" s="981"/>
      <c r="G902" s="57"/>
      <c r="I902" s="490"/>
    </row>
    <row r="903" spans="1:9" ht="12.75" customHeight="1">
      <c r="A903" s="57"/>
      <c r="B903" s="485" t="s">
        <v>2711</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1804</v>
      </c>
      <c r="E905" s="1327"/>
      <c r="F905" s="1327"/>
      <c r="G905" s="988"/>
      <c r="I905" s="490"/>
    </row>
    <row r="906" spans="1:9" ht="12.75" customHeight="1">
      <c r="A906" s="172"/>
      <c r="B906" s="172"/>
      <c r="C906" s="172"/>
      <c r="D906" s="1302" t="s">
        <v>1774</v>
      </c>
      <c r="E906" s="1302"/>
      <c r="F906" s="1302"/>
      <c r="G906" s="988"/>
      <c r="I906" s="490"/>
    </row>
    <row r="907" spans="1:9" ht="12.75" customHeight="1">
      <c r="A907" s="989"/>
      <c r="B907" s="989"/>
      <c r="C907" s="989"/>
      <c r="D907" s="2"/>
      <c r="E907" s="988"/>
      <c r="F907" s="988"/>
      <c r="G907" s="988"/>
      <c r="I907" s="490"/>
    </row>
    <row r="908" spans="1:9" ht="12.75" customHeight="1">
      <c r="A908" s="175"/>
      <c r="B908" s="485" t="s">
        <v>2711</v>
      </c>
      <c r="C908" s="354"/>
      <c r="D908" s="1262" t="s">
        <v>1778</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1777</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2711</v>
      </c>
      <c r="C913" s="174"/>
      <c r="D913" s="1266" t="s">
        <v>1775</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2712</v>
      </c>
      <c r="C922" s="989"/>
      <c r="D922" s="1262" t="s">
        <v>1779</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2712</v>
      </c>
      <c r="C925" s="989"/>
      <c r="D925" s="1290" t="s">
        <v>1780</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2712</v>
      </c>
      <c r="C930" s="989"/>
      <c r="D930" s="1302" t="s">
        <v>2068</v>
      </c>
      <c r="E930" s="1302"/>
      <c r="F930" s="1302"/>
      <c r="G930" s="988"/>
      <c r="I930" s="490"/>
    </row>
    <row r="931" spans="1:9" ht="12.75" customHeight="1">
      <c r="A931" s="989"/>
      <c r="B931" s="989"/>
      <c r="C931" s="989"/>
      <c r="D931" s="118"/>
      <c r="E931" s="988"/>
      <c r="F931" s="988"/>
      <c r="G931" s="988"/>
      <c r="I931" s="490"/>
    </row>
    <row r="932" spans="1:9" ht="12.75" customHeight="1">
      <c r="A932" s="989"/>
      <c r="B932" s="485" t="s">
        <v>2712</v>
      </c>
      <c r="C932" s="989"/>
      <c r="D932" s="1302" t="s">
        <v>2069</v>
      </c>
      <c r="E932" s="1302"/>
      <c r="F932" s="1302"/>
      <c r="G932" s="988"/>
      <c r="I932" s="490"/>
    </row>
    <row r="933" spans="1:9" ht="12.75" customHeight="1">
      <c r="A933" s="174"/>
      <c r="B933" s="174"/>
      <c r="C933" s="174"/>
      <c r="D933" s="2"/>
      <c r="E933" s="3"/>
      <c r="F933" s="988"/>
      <c r="G933" s="988"/>
      <c r="I933" s="490"/>
    </row>
    <row r="934" spans="1:9" ht="12.75" customHeight="1">
      <c r="A934" s="997"/>
      <c r="B934" s="485" t="s">
        <v>2711</v>
      </c>
      <c r="C934" s="998"/>
      <c r="D934" s="1266" t="s">
        <v>1776</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2711</v>
      </c>
      <c r="C944" s="174"/>
      <c r="D944" s="1321" t="s">
        <v>1885</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2711</v>
      </c>
      <c r="C952" s="174"/>
      <c r="D952" s="1265" t="s">
        <v>2136</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2712</v>
      </c>
      <c r="C959" s="989"/>
      <c r="D959" s="1290" t="s">
        <v>1781</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2712</v>
      </c>
      <c r="C964" s="174"/>
      <c r="D964" s="1266" t="s">
        <v>1884</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1782</v>
      </c>
      <c r="E969" s="1324"/>
      <c r="F969" s="1324"/>
      <c r="G969" s="3"/>
      <c r="I969" s="490"/>
    </row>
    <row r="970" spans="1:9" ht="12.75" customHeight="1">
      <c r="A970" s="175"/>
      <c r="B970" s="485" t="s">
        <v>2712</v>
      </c>
      <c r="C970" s="354"/>
      <c r="D970" s="1302" t="s">
        <v>1805</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1783</v>
      </c>
      <c r="E972" s="1324"/>
      <c r="F972" s="1324"/>
      <c r="G972"/>
      <c r="I972" s="490"/>
    </row>
    <row r="973" spans="1:9" ht="12.75" customHeight="1">
      <c r="A973" s="175"/>
      <c r="B973" s="485" t="s">
        <v>2711</v>
      </c>
      <c r="C973" s="354"/>
      <c r="D973" s="1262" t="s">
        <v>2070</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1784</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1806</v>
      </c>
      <c r="E991" s="1324"/>
      <c r="F991" s="1324"/>
      <c r="G991" s="3"/>
      <c r="I991" s="490"/>
    </row>
    <row r="992" spans="1:9" ht="12.75" customHeight="1">
      <c r="A992" s="172"/>
      <c r="B992" s="172"/>
      <c r="C992" s="172"/>
      <c r="D992" s="1302" t="s">
        <v>1785</v>
      </c>
      <c r="E992" s="1302"/>
      <c r="F992" s="1302"/>
      <c r="G992" s="3"/>
      <c r="I992" s="490"/>
    </row>
    <row r="993" spans="1:9" ht="12.75" customHeight="1">
      <c r="A993" s="172"/>
      <c r="B993" s="172"/>
      <c r="C993" s="172"/>
      <c r="D993" s="3"/>
      <c r="E993" s="3"/>
      <c r="F993" s="988"/>
      <c r="G993"/>
      <c r="I993" s="490"/>
    </row>
    <row r="994" spans="1:9" ht="12.75" customHeight="1">
      <c r="A994" s="354"/>
      <c r="B994" s="485" t="s">
        <v>2711</v>
      </c>
      <c r="C994" s="354"/>
      <c r="D994" s="1326" t="s">
        <v>1914</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1915</v>
      </c>
      <c r="F996" s="1038"/>
      <c r="G996"/>
      <c r="I996" s="490"/>
    </row>
    <row r="997" spans="1:9" ht="12.75" customHeight="1">
      <c r="A997" s="354"/>
      <c r="B997" s="354"/>
      <c r="C997" s="354"/>
      <c r="D997" s="1268" t="s">
        <v>1913</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2712</v>
      </c>
      <c r="C1002" s="174"/>
      <c r="D1002" s="1262" t="s">
        <v>1786</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2712</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2712</v>
      </c>
      <c r="C1010" s="354"/>
      <c r="D1010" s="1302" t="s">
        <v>1787</v>
      </c>
      <c r="E1010" s="1302"/>
      <c r="F1010" s="1302"/>
      <c r="G1010"/>
      <c r="I1010" s="490"/>
    </row>
    <row r="1011" spans="1:9" ht="12.75" customHeight="1">
      <c r="A1011" s="354"/>
      <c r="B1011" s="354"/>
      <c r="C1011" s="354"/>
      <c r="D1011" s="3"/>
      <c r="E1011" s="3"/>
      <c r="F1011" s="3"/>
      <c r="G1011"/>
      <c r="I1011" s="490"/>
    </row>
    <row r="1012" spans="1:9" ht="12.75" customHeight="1">
      <c r="A1012" s="175"/>
      <c r="B1012" s="485" t="s">
        <v>2712</v>
      </c>
      <c r="C1012" s="354"/>
      <c r="D1012" s="1302" t="s">
        <v>1788</v>
      </c>
      <c r="E1012" s="1302"/>
      <c r="F1012" s="1302"/>
      <c r="G1012"/>
      <c r="I1012" s="490"/>
    </row>
    <row r="1013" spans="1:9" ht="12.75" customHeight="1">
      <c r="A1013" s="354"/>
      <c r="B1013" s="354"/>
      <c r="C1013" s="354"/>
      <c r="D1013" s="118"/>
      <c r="E1013" s="3"/>
      <c r="F1013" s="3"/>
      <c r="G1013"/>
      <c r="I1013" s="490"/>
    </row>
    <row r="1014" spans="1:9" ht="12.75" customHeight="1">
      <c r="A1014" s="175"/>
      <c r="B1014" s="485" t="s">
        <v>2711</v>
      </c>
      <c r="C1014" s="354"/>
      <c r="D1014" s="1302" t="s">
        <v>1789</v>
      </c>
      <c r="E1014" s="1302"/>
      <c r="F1014" s="1302"/>
      <c r="G1014"/>
      <c r="I1014" s="490"/>
    </row>
    <row r="1015" spans="1:9" ht="12.75" customHeight="1">
      <c r="A1015" s="354"/>
      <c r="B1015" s="354"/>
      <c r="C1015" s="354"/>
      <c r="D1015" s="118"/>
      <c r="E1015" s="3"/>
      <c r="F1015" s="3"/>
      <c r="G1015"/>
      <c r="I1015" s="490"/>
    </row>
    <row r="1016" spans="1:9" ht="12.75" customHeight="1">
      <c r="A1016" s="175"/>
      <c r="B1016" s="485" t="s">
        <v>2712</v>
      </c>
      <c r="C1016" s="354"/>
      <c r="D1016" s="1262" t="s">
        <v>1790</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2712</v>
      </c>
      <c r="C1019" s="1000"/>
      <c r="D1019" s="1318" t="s">
        <v>1791</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2711</v>
      </c>
      <c r="C1022" s="1000"/>
      <c r="D1022" s="1325" t="s">
        <v>1792</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2712</v>
      </c>
      <c r="C1024" s="354"/>
      <c r="D1024" s="1302" t="s">
        <v>1793</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2712</v>
      </c>
      <c r="C1026" s="354"/>
      <c r="D1026" s="1262" t="s">
        <v>1794</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1795</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1796</v>
      </c>
      <c r="E1031" s="1327"/>
      <c r="F1031" s="1327"/>
      <c r="G1031" s="3"/>
      <c r="I1031" s="490"/>
    </row>
    <row r="1032" spans="1:9" ht="12.75" customHeight="1">
      <c r="A1032" s="354"/>
      <c r="B1032" s="354"/>
      <c r="C1032" s="354"/>
      <c r="D1032" s="1325" t="s">
        <v>1797</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1811</v>
      </c>
      <c r="E1034" s="1327"/>
      <c r="F1034" s="1327"/>
      <c r="G1034" s="3"/>
      <c r="I1034" s="490"/>
    </row>
    <row r="1035" spans="1:9" ht="12.75" customHeight="1">
      <c r="A1035" s="354"/>
      <c r="B1035" s="485" t="s">
        <v>2711</v>
      </c>
      <c r="C1035" s="354"/>
      <c r="D1035" s="1325" t="s">
        <v>1270</v>
      </c>
      <c r="E1035" s="1325"/>
      <c r="F1035" s="1325"/>
      <c r="G1035" s="3"/>
      <c r="I1035" s="490"/>
    </row>
    <row r="1036" spans="1:9" ht="12.75" customHeight="1">
      <c r="A1036" s="354"/>
      <c r="B1036" s="175"/>
      <c r="C1036" s="354"/>
      <c r="D1036" s="1325" t="s">
        <v>1798</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1807</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1271</v>
      </c>
      <c r="E1040" s="1332"/>
      <c r="F1040" s="1332"/>
      <c r="G1040" s="3"/>
      <c r="I1040" s="490"/>
    </row>
    <row r="1041" spans="1:9" ht="12.75" hidden="1" customHeight="1">
      <c r="A1041" s="118"/>
      <c r="B1041" s="485" t="s">
        <v>307</v>
      </c>
      <c r="D1041" s="1294" t="s">
        <v>1270</v>
      </c>
      <c r="E1041" s="1294"/>
      <c r="F1041" s="1294"/>
      <c r="G1041" s="3"/>
      <c r="I1041" s="490"/>
    </row>
    <row r="1042" spans="1:9" ht="12.75" hidden="1" customHeight="1">
      <c r="A1042" s="118"/>
      <c r="B1042" s="402"/>
      <c r="D1042" s="1294" t="s">
        <v>1808</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1065</v>
      </c>
      <c r="E1044" s="1333"/>
      <c r="F1044" s="1333"/>
      <c r="G1044" s="3"/>
      <c r="I1044" s="490"/>
    </row>
    <row r="1045" spans="1:9" ht="12.75" customHeight="1">
      <c r="A1045" s="319"/>
      <c r="B1045" s="319"/>
      <c r="C1045" s="319"/>
      <c r="D1045" s="1303" t="s">
        <v>2247</v>
      </c>
      <c r="E1045" s="1303"/>
      <c r="F1045" s="1303"/>
      <c r="G1045" s="98"/>
      <c r="I1045" s="490"/>
    </row>
    <row r="1046" spans="1:9" ht="12.75" customHeight="1">
      <c r="A1046" s="175"/>
      <c r="B1046" s="485" t="s">
        <v>2712</v>
      </c>
      <c r="C1046" s="354"/>
      <c r="D1046" s="1303" t="s">
        <v>984</v>
      </c>
      <c r="E1046" s="1303"/>
      <c r="F1046" s="1303"/>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311" t="s">
        <v>1828</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2712</v>
      </c>
      <c r="C1054" s="402"/>
      <c r="D1054" s="1329" t="s">
        <v>1812</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1815</v>
      </c>
      <c r="I1060" s="490"/>
    </row>
    <row r="1061" spans="1:9">
      <c r="A1061" s="402"/>
      <c r="B1061" s="402"/>
      <c r="C1061" s="402"/>
      <c r="I1061" s="490"/>
    </row>
    <row r="1062" spans="1:9">
      <c r="A1062" s="402"/>
      <c r="B1062" s="485" t="s">
        <v>2712</v>
      </c>
      <c r="C1062" s="402"/>
      <c r="D1062" s="402" t="s">
        <v>1810</v>
      </c>
      <c r="I1062" s="490"/>
    </row>
    <row r="1063" spans="1:9">
      <c r="A1063" s="402"/>
      <c r="B1063" s="402"/>
      <c r="C1063" s="402"/>
      <c r="I1063" s="490"/>
    </row>
    <row r="1064" spans="1:9">
      <c r="A1064" s="402"/>
      <c r="B1064" s="485" t="s">
        <v>2712</v>
      </c>
      <c r="C1064" s="402"/>
      <c r="D1064" s="1329" t="s">
        <v>1816</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1817</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2711</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2712</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2712</v>
      </c>
      <c r="C1079" s="402"/>
      <c r="D1079" s="119" t="s">
        <v>1826</v>
      </c>
      <c r="I1079" s="490"/>
    </row>
    <row r="1080" spans="1:9">
      <c r="A1080" s="402"/>
      <c r="B1080" s="402"/>
      <c r="C1080" s="402"/>
      <c r="D1080" s="1262" t="s">
        <v>1827</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2712</v>
      </c>
      <c r="C1087" s="402"/>
      <c r="D1087" s="1328" t="s">
        <v>1819</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1824</v>
      </c>
      <c r="I1092" s="490"/>
    </row>
    <row r="1093" spans="1:9">
      <c r="A1093" s="402"/>
      <c r="B1093" s="402"/>
      <c r="C1093" s="402"/>
      <c r="I1093" s="490"/>
    </row>
    <row r="1094" spans="1:9">
      <c r="A1094" s="402"/>
      <c r="B1094" s="485" t="s">
        <v>2712</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1829</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2712</v>
      </c>
      <c r="C1101" s="402"/>
      <c r="D1101" s="1330" t="s">
        <v>1928</v>
      </c>
      <c r="E1101" s="1330"/>
      <c r="F1101" s="1330"/>
      <c r="I1101" s="490"/>
    </row>
    <row r="1102" spans="1:9">
      <c r="A1102" s="402"/>
      <c r="B1102" s="402"/>
      <c r="C1102" s="402"/>
      <c r="D1102" s="1330"/>
      <c r="E1102" s="1330"/>
      <c r="F1102" s="1330"/>
      <c r="I1102" s="490"/>
    </row>
    <row r="1103" spans="1:9">
      <c r="A1103" s="402"/>
      <c r="B1103" s="402"/>
      <c r="C1103" s="402"/>
      <c r="D1103" s="1331" t="s">
        <v>2142</v>
      </c>
      <c r="E1103" s="1262"/>
      <c r="F1103" s="1262"/>
      <c r="I1103" s="490"/>
    </row>
    <row r="1104" spans="1:9">
      <c r="A1104" s="402"/>
      <c r="B1104" s="402"/>
      <c r="C1104" s="402"/>
      <c r="D1104" s="527"/>
      <c r="I1104" s="490"/>
    </row>
    <row r="1105" spans="1:9">
      <c r="A1105" s="402"/>
      <c r="B1105" s="485" t="s">
        <v>2712</v>
      </c>
      <c r="C1105" s="402"/>
      <c r="D1105" s="1328" t="s">
        <v>1830</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2712</v>
      </c>
      <c r="C1108" s="402"/>
      <c r="D1108" s="1328" t="s">
        <v>1886</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ht="12.5">
      <c r="A1114" s="402"/>
      <c r="B1114" s="402"/>
      <c r="C1114" s="402"/>
      <c r="D1114" s="527"/>
      <c r="I1114" s="480"/>
    </row>
    <row r="1115" spans="1:9">
      <c r="A1115" s="402"/>
      <c r="B1115" s="485" t="s">
        <v>2711</v>
      </c>
      <c r="C1115" s="402"/>
      <c r="D1115" s="1328" t="s">
        <v>1831</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2711</v>
      </c>
      <c r="C1119" s="402"/>
      <c r="D1119" s="1268" t="s">
        <v>1887</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2712</v>
      </c>
      <c r="C1123" s="402"/>
      <c r="D1123" s="1262" t="s">
        <v>1888</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0"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37" zoomScaleNormal="100" workbookViewId="0">
      <selection activeCell="C560" sqref="C560:L560"/>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08984375" hidden="1" customWidth="1"/>
    <col min="59" max="59" width="11.08984375" hidden="1" customWidth="1"/>
    <col min="60" max="60" width="3.6328125" hidden="1" customWidth="1"/>
    <col min="61" max="61" width="8.36328125" hidden="1" customWidth="1"/>
    <col min="62" max="16384" width="3.63281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 xml:space="preserve">Coastal (Monterey, Napa, Orange, San Benito, San Diego, San Luis Obispo, Santa Barbara, Sonoma, and Ventura Counties) </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15</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2509</v>
      </c>
      <c r="BE8" s="1249">
        <f>SUMIF($AC$718:$AC$752,"&lt;=35%",$G$718:G$752)-SUM($BE$5:BE7)</f>
        <v>0</v>
      </c>
    </row>
    <row r="9" spans="1:58" ht="13" customHeight="1">
      <c r="A9" s="1841" t="s">
        <v>2075</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2501</v>
      </c>
      <c r="BE9" s="1249">
        <f>SUMIF($AC$718:$AC$752,"&lt;=40%",$G$718:G$752)-SUM($BE$5:BE8)</f>
        <v>0</v>
      </c>
    </row>
    <row r="10" spans="1:58" ht="13" customHeight="1">
      <c r="A10" s="1841" t="s">
        <v>2458</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2510</v>
      </c>
      <c r="BE10" s="1249">
        <f>SUMIF($AC$718:$AC$752,"&lt;=45%",$G$718:G$752)-SUM($BE$5:BE9)</f>
        <v>0</v>
      </c>
    </row>
    <row r="11" spans="1:58" ht="13" customHeight="1">
      <c r="A11" s="1841" t="s">
        <v>2604</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2502</v>
      </c>
      <c r="BE11" s="1249">
        <f>SUMIF($AC$718:$AC$752,"&lt;=50%",$G$718:G$752)-SUM($BE$5:BE10)</f>
        <v>11</v>
      </c>
    </row>
    <row r="12" spans="1:58" ht="13" customHeight="1">
      <c r="A12" s="1842" t="s">
        <v>2609</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2511</v>
      </c>
      <c r="BE12" s="1249">
        <f>SUMIF($AC$718:$AC$752,"&lt;=55%",$G$718:G$752)-SUM($BE$5:BE11)</f>
        <v>0</v>
      </c>
    </row>
    <row r="13" spans="1:58" ht="13" customHeight="1">
      <c r="A13" s="1272" t="s">
        <v>2076</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2503</v>
      </c>
      <c r="BE13" s="1249">
        <f>SUMIF($AC$718:$AC$752,"&lt;=60%",$G$718:G$752)-SUM($BE$5:BE12)</f>
        <v>40</v>
      </c>
    </row>
    <row r="14" spans="1:58" ht="13"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2504</v>
      </c>
      <c r="BE14" s="1249">
        <f>SUMIF($AC$718:$AC$752,"&lt;=70%",$G$718:G$752)-SUM($BE$5:BE13)</f>
        <v>31</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 customHeight="1">
      <c r="A16" s="57" t="s">
        <v>2077</v>
      </c>
      <c r="C16" s="4"/>
      <c r="D16" s="4"/>
      <c r="E16" s="4"/>
      <c r="F16" s="4"/>
      <c r="G16" s="4"/>
      <c r="H16" s="1570" t="s">
        <v>2610</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248" t="s">
        <v>656</v>
      </c>
      <c r="BE16" s="1249" t="str">
        <f>Application!H18</f>
        <v>Hillcrest Hall</v>
      </c>
    </row>
    <row r="17" spans="1:58" ht="13" customHeight="1">
      <c r="BD17" s="1247" t="s">
        <v>2518</v>
      </c>
      <c r="BE17" s="1249">
        <f>Application!AA934</f>
        <v>0</v>
      </c>
    </row>
    <row r="18" spans="1:58" ht="13" customHeight="1">
      <c r="A18" s="57" t="s">
        <v>101</v>
      </c>
      <c r="C18" s="4"/>
      <c r="D18" s="4"/>
      <c r="E18" s="4"/>
      <c r="F18" s="4"/>
      <c r="G18" s="4"/>
      <c r="H18" s="1524" t="s">
        <v>2611</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2519</v>
      </c>
      <c r="BE18" s="1249">
        <f>'CalHFA Addendum'!N11</f>
        <v>0</v>
      </c>
    </row>
    <row r="19" spans="1:58" ht="13" customHeight="1">
      <c r="BD19" s="1247" t="s">
        <v>2520</v>
      </c>
      <c r="BE19" s="1249">
        <f>Application!M26</f>
        <v>2713558</v>
      </c>
    </row>
    <row r="20" spans="1:58" ht="13" customHeight="1">
      <c r="A20" s="1843" t="s">
        <v>873</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2521</v>
      </c>
      <c r="BE20" s="1249">
        <f>Application!M27</f>
        <v>12000000</v>
      </c>
    </row>
    <row r="21" spans="1:58" ht="13" customHeight="1">
      <c r="A21" s="1846" t="s">
        <v>1008</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2522</v>
      </c>
      <c r="BE21" s="1249">
        <f>Application!AM554</f>
        <v>26250000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55969510</v>
      </c>
      <c r="BF22" s="3" t="s">
        <v>2595</v>
      </c>
    </row>
    <row r="23" spans="1:58" ht="13" customHeight="1">
      <c r="A23" s="1330" t="s">
        <v>2145</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2523</v>
      </c>
      <c r="BE23" s="1249">
        <f>'Sources and Uses Budget'!B4</f>
        <v>0</v>
      </c>
    </row>
    <row r="24" spans="1:58" ht="13"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2524</v>
      </c>
      <c r="BE24" s="1249">
        <f>Application!AG450</f>
        <v>75358</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3" customHeight="1">
      <c r="A26" s="4"/>
      <c r="C26" s="4"/>
      <c r="D26" s="4"/>
      <c r="E26" s="4"/>
      <c r="F26" s="4"/>
      <c r="G26" s="4"/>
      <c r="H26" s="4"/>
      <c r="I26" s="4"/>
      <c r="J26" s="4"/>
      <c r="K26" s="4"/>
      <c r="L26" s="4"/>
      <c r="M26" s="1845">
        <f>'Basis &amp; Credits'!AB56</f>
        <v>2713558</v>
      </c>
      <c r="N26" s="1845"/>
      <c r="O26" s="1845"/>
      <c r="P26" s="1845"/>
      <c r="Q26" s="1845"/>
      <c r="R26" s="4" t="s">
        <v>759</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61">
        <f>'Basis &amp; Credits'!AB78</f>
        <v>12000000</v>
      </c>
      <c r="N27" s="1361"/>
      <c r="O27" s="1361"/>
      <c r="P27" s="1361"/>
      <c r="Q27" s="1361"/>
      <c r="R27" s="3" t="s">
        <v>1266</v>
      </c>
      <c r="S27" s="4"/>
      <c r="T27" s="4"/>
      <c r="U27" s="4"/>
      <c r="V27" s="4"/>
      <c r="W27" s="4"/>
      <c r="X27" s="4"/>
      <c r="Y27" s="4"/>
      <c r="Z27" s="4"/>
      <c r="AF27" s="4"/>
      <c r="AG27" s="4"/>
      <c r="AH27" s="4"/>
      <c r="AI27" s="4"/>
      <c r="AJ27" s="4"/>
      <c r="AK27" s="4"/>
      <c r="BD27" s="1247" t="s">
        <v>2097</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538" t="s">
        <v>2146</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2527</v>
      </c>
      <c r="BE29" s="1249" t="b">
        <f>Application!M358="Yes"</f>
        <v>0</v>
      </c>
    </row>
    <row r="30" spans="1:58" ht="13"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1</v>
      </c>
    </row>
    <row r="31" spans="1:58" ht="13"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2528</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11</v>
      </c>
    </row>
    <row r="33" spans="1:57" ht="13" customHeight="1">
      <c r="A33" s="519" t="s">
        <v>1277</v>
      </c>
      <c r="C33" s="519"/>
      <c r="D33" s="519"/>
      <c r="E33" s="519"/>
      <c r="F33" s="519"/>
      <c r="G33" s="519"/>
      <c r="H33" s="519"/>
      <c r="I33" s="519"/>
      <c r="J33" s="519"/>
      <c r="K33" s="519"/>
      <c r="L33" s="519"/>
      <c r="M33" s="519"/>
      <c r="N33" s="519"/>
      <c r="O33" s="1417" t="s">
        <v>545</v>
      </c>
      <c r="P33" s="1417"/>
      <c r="Q33" s="1844" t="s">
        <v>2147</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2596</v>
      </c>
      <c r="BE33" s="1249" t="str">
        <f>Application!D220</f>
        <v>San Diego County</v>
      </c>
    </row>
    <row r="34" spans="1:57" ht="13" customHeight="1">
      <c r="A34" s="1538" t="s">
        <v>2148</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2530</v>
      </c>
      <c r="BE34" s="1249" t="str">
        <f>Application!I185</f>
        <v>1601 University Avenue, San Diego,CA 92103</v>
      </c>
    </row>
    <row r="35" spans="1:57" ht="13"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2531</v>
      </c>
      <c r="BE35" s="1249" t="str">
        <f>IF(Application!E187="","",Application!E187)</f>
        <v/>
      </c>
    </row>
    <row r="36" spans="1:57" ht="13"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2532</v>
      </c>
      <c r="BE36" s="1249" t="str">
        <f>Application!I189</f>
        <v>San Diego</v>
      </c>
    </row>
    <row r="37" spans="1:57" ht="13"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2533</v>
      </c>
      <c r="BE37" s="1249" t="str">
        <f>Application!T189</f>
        <v>San Diego</v>
      </c>
    </row>
    <row r="38" spans="1:57" ht="13" customHeight="1">
      <c r="A38" s="3"/>
      <c r="AZ38" s="20"/>
      <c r="BD38" s="1248" t="s">
        <v>2534</v>
      </c>
      <c r="BE38" s="1249">
        <f>Application!I190</f>
        <v>92103</v>
      </c>
    </row>
    <row r="39" spans="1:57" ht="13" customHeight="1">
      <c r="A39" s="1262" t="s">
        <v>2149</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98</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97</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0.5742268041237113</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0.57424601241717332</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571117.44897959183</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330" t="s">
        <v>2150</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2540</v>
      </c>
      <c r="BE46" s="1249" t="b">
        <f>Application!T195="Yes"</f>
        <v>1</v>
      </c>
    </row>
    <row r="47" spans="1:57" ht="13"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2541</v>
      </c>
      <c r="BE47" s="1249" t="b">
        <f>Application!T196="Yes"</f>
        <v>0</v>
      </c>
    </row>
    <row r="48" spans="1:57" ht="13"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2542</v>
      </c>
      <c r="BE48" s="1249" t="str">
        <f>Application!M243</f>
        <v>BOLD Communities</v>
      </c>
    </row>
    <row r="49" spans="1:57" ht="13"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2543</v>
      </c>
      <c r="BE49" s="1249" t="str">
        <f>Application!M246</f>
        <v>Michael Miller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f>Application!AA249</f>
        <v>0</v>
      </c>
    </row>
    <row r="51" spans="1:57" ht="13" customHeight="1">
      <c r="A51" s="1262" t="s">
        <v>2151</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Hillcrest Hall AGP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Paul Salib</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CRP Affordable Housing and Community Development LLC</v>
      </c>
    </row>
    <row r="54" spans="1:57" ht="13" customHeight="1">
      <c r="A54" s="1262" t="s">
        <v>2152</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t="str">
        <f>Application!M259</f>
        <v>E. Smith &amp; Company, Inc.</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t="str">
        <f>Application!M262</f>
        <v>Reese A. Jarrett</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CRP Affordable Housing and Community Development LLC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122 E 42nd Street, suite 1903</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New York, NY 10168</v>
      </c>
    </row>
    <row r="60" spans="1:57" ht="13" customHeight="1">
      <c r="A60" s="1262" t="s">
        <v>2153</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Paul Salib</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psalib@crpaffordable.com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0.80991904999999997</v>
      </c>
    </row>
    <row r="63" spans="1:57" ht="13"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0.87</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 customHeight="1">
      <c r="A65" s="1548" t="s">
        <v>2155</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2593</v>
      </c>
      <c r="BE65" s="1249" t="str">
        <f>Z205</f>
        <v>$500M</v>
      </c>
    </row>
    <row r="66" spans="1:57" ht="13"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2558</v>
      </c>
      <c r="BE66" s="1249" t="b">
        <f>Application!Z205="State Farmworker Credit"</f>
        <v>0</v>
      </c>
    </row>
    <row r="67" spans="1:57" ht="13"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2559</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548" t="s">
        <v>2156</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2561</v>
      </c>
      <c r="BE69" s="1249" t="str">
        <f>Application!W700</f>
        <v>San Diego Housing Commission</v>
      </c>
    </row>
    <row r="70" spans="1:57" ht="13"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2562</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538" t="s">
        <v>2157</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2564</v>
      </c>
      <c r="BE72" s="1249">
        <f>'Points System'!AF805</f>
        <v>10</v>
      </c>
    </row>
    <row r="73" spans="1:57" ht="13"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547" t="s">
        <v>2158</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2567</v>
      </c>
      <c r="BE75" s="1249">
        <f>'Points System'!AF808</f>
        <v>10</v>
      </c>
    </row>
    <row r="76" spans="1:57" ht="13"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2568</v>
      </c>
      <c r="BE76" s="1249">
        <f>'Points System'!AF811</f>
        <v>10</v>
      </c>
    </row>
    <row r="77" spans="1:57" ht="13"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548" t="s">
        <v>2159</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2571</v>
      </c>
      <c r="BE79" s="1249">
        <f>'Points System'!AF815</f>
        <v>10</v>
      </c>
    </row>
    <row r="80" spans="1:57" ht="13"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2572</v>
      </c>
      <c r="BE80" s="1249">
        <f>'Points System'!AF817</f>
        <v>10</v>
      </c>
    </row>
    <row r="81" spans="1:57" ht="13"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2" t="s">
        <v>2160</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0.94114611120674818</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San Diego Housing Commission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Ms. Colin Miller</v>
      </c>
    </row>
    <row r="86" spans="1:57" ht="13" customHeight="1">
      <c r="A86" s="1262" t="s">
        <v>2161</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Vice President, Multihousing Finance</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 xml:space="preserve">1122 Broadway, Suite 300 </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San Diego</v>
      </c>
    </row>
    <row r="89" spans="1:57" ht="13" customHeight="1">
      <c r="A89" s="1556" t="s">
        <v>2162</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7" t="s">
        <v>2581</v>
      </c>
      <c r="BE89" s="1249">
        <f>Application!O158</f>
        <v>92101</v>
      </c>
    </row>
    <row r="90" spans="1:57" ht="13"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8" t="s">
        <v>2582</v>
      </c>
      <c r="BE90" s="1249" t="str">
        <f>Application!H16</f>
        <v>Hillcrest Hall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122 E 42nd Street, suite 1903</v>
      </c>
    </row>
    <row r="92" spans="1:57" ht="13" customHeight="1">
      <c r="A92" s="1547" t="s">
        <v>2163</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2584</v>
      </c>
      <c r="BE92" s="1249" t="str">
        <f>Application!M234</f>
        <v>New York</v>
      </c>
    </row>
    <row r="93" spans="1:57" ht="13"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2585</v>
      </c>
      <c r="BE93" s="1249" t="str">
        <f>Application!W234</f>
        <v>NY</v>
      </c>
    </row>
    <row r="94" spans="1:57" ht="13"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2586</v>
      </c>
      <c r="BE94" s="1249">
        <f>Application!AC234</f>
        <v>10168</v>
      </c>
    </row>
    <row r="95" spans="1:57" ht="13"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2587</v>
      </c>
      <c r="BE95" s="1249" t="str">
        <f>Application!M235</f>
        <v>Paul Salib</v>
      </c>
    </row>
    <row r="96" spans="1:57" ht="13"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2588</v>
      </c>
      <c r="BE96" s="1249" t="str">
        <f>Application!M237</f>
        <v>psalib@crpaffordable.com</v>
      </c>
    </row>
    <row r="97" spans="1:57" ht="13"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2589</v>
      </c>
      <c r="BE97" s="1249" t="str">
        <f>Application!M248</f>
        <v>mike@boldcommunities.org</v>
      </c>
    </row>
    <row r="98" spans="1:57" ht="13"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2590</v>
      </c>
      <c r="BE98" s="1249" t="str">
        <f>Application!M256</f>
        <v>psalib@crpaffordable.com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t="str">
        <f>Application!M264</f>
        <v>reeseaj@cox.net</v>
      </c>
    </row>
    <row r="100" spans="1:57" ht="13" customHeight="1">
      <c r="A100" s="1557" t="s">
        <v>2164</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8" t="s">
        <v>2592</v>
      </c>
      <c r="BE100" s="1249" t="str">
        <f>Application!L279</f>
        <v>ssterneck@crpaffordable.com</v>
      </c>
    </row>
    <row r="101" spans="1:57" ht="13"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2597</v>
      </c>
      <c r="BE101">
        <f>'Sources and Uses Budget'!C105</f>
        <v>55969510</v>
      </c>
    </row>
    <row r="102" spans="1:57" ht="13"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2598</v>
      </c>
      <c r="BE102" t="b">
        <f>T197="Yes"</f>
        <v>0</v>
      </c>
    </row>
    <row r="103" spans="1:57" ht="13"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2174</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7" t="s">
        <v>2165</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3"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50"/>
      <c r="H113" s="1550"/>
      <c r="I113" s="3" t="s">
        <v>182</v>
      </c>
      <c r="L113" s="1550"/>
      <c r="M113" s="1550"/>
      <c r="N113" s="1550"/>
      <c r="O113" s="1550"/>
      <c r="P113" s="1564" t="s">
        <v>2239</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51"/>
      <c r="D115" s="1551"/>
      <c r="E115" s="1551"/>
      <c r="F115" s="1551"/>
      <c r="G115" s="1551"/>
      <c r="H115" s="1551"/>
      <c r="I115" s="1551"/>
      <c r="J115" s="1551"/>
      <c r="K115" s="155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0"/>
      <c r="Z117" s="1550"/>
      <c r="AA117" s="1550"/>
      <c r="AB117" s="1550"/>
      <c r="AC117" s="1550"/>
      <c r="AD117" s="1550"/>
      <c r="AE117" s="1550"/>
      <c r="AF117" s="1550"/>
      <c r="AG117" s="1550"/>
      <c r="AH117" s="1550"/>
      <c r="AI117" s="1550"/>
      <c r="AJ117" s="1550"/>
      <c r="AK117" s="1550"/>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0" t="s">
        <v>2612</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7" t="s">
        <v>469</v>
      </c>
      <c r="CV122" s="1698"/>
      <c r="CW122" s="14"/>
      <c r="CX122" s="14" t="s">
        <v>634</v>
      </c>
      <c r="CY122" s="14"/>
      <c r="CZ122" s="14"/>
      <c r="DA122" s="14"/>
      <c r="DB122" s="14"/>
      <c r="DC122" s="14"/>
      <c r="DD122" s="14"/>
      <c r="DE122" s="14"/>
      <c r="DF122" s="14"/>
      <c r="DG122" s="1694" t="str">
        <f>T189</f>
        <v>San Diego</v>
      </c>
      <c r="DH122" s="1695"/>
      <c r="DI122" s="1695"/>
      <c r="DJ122" s="1695"/>
      <c r="DK122" s="1695"/>
      <c r="DL122" s="1695"/>
      <c r="DM122" s="1696"/>
    </row>
    <row r="123" spans="1:117" ht="13" customHeight="1">
      <c r="A123" s="3"/>
      <c r="B123" s="3"/>
      <c r="T123" s="3"/>
      <c r="U123" s="3"/>
      <c r="V123" s="3"/>
      <c r="W123" s="3"/>
      <c r="X123" s="3"/>
      <c r="Y123" s="1550" t="s">
        <v>2613</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527" t="s">
        <v>2614</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440</v>
      </c>
      <c r="O154" s="1535" t="s">
        <v>2695</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4" t="s">
        <v>2615</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09" t="s">
        <v>2616</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2223</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27" t="s">
        <v>729</v>
      </c>
      <c r="P157" s="1527"/>
      <c r="Q157" s="1527"/>
      <c r="R157" s="1527"/>
      <c r="S157" s="1527"/>
      <c r="T157" s="1527"/>
      <c r="U157" s="1527"/>
      <c r="V157" s="1527"/>
      <c r="W157" s="1527"/>
      <c r="X157" s="152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60">
        <v>92101</v>
      </c>
      <c r="P158" s="1560"/>
      <c r="Q158" s="1560"/>
      <c r="R158" s="156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5" t="s">
        <v>2617</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55" t="s">
        <v>2618</v>
      </c>
      <c r="P160" s="1555"/>
      <c r="Q160" s="1555"/>
      <c r="R160" s="1555"/>
      <c r="S160" s="1555"/>
      <c r="T160" s="155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318</v>
      </c>
      <c r="O161" s="1543" t="s">
        <v>2619</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52" t="s">
        <v>2215</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37" t="s">
        <v>539</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321</v>
      </c>
      <c r="J173" s="1533" t="s">
        <v>371</v>
      </c>
      <c r="K173" s="1533"/>
      <c r="L173" s="1533"/>
      <c r="M173" s="1533"/>
      <c r="N173" s="1533"/>
      <c r="O173" s="1533"/>
      <c r="P173" s="1533"/>
      <c r="Q173" s="1533"/>
      <c r="R173" s="1533"/>
      <c r="S173" s="1533"/>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1201</v>
      </c>
      <c r="J174" s="1409" t="s">
        <v>2100</v>
      </c>
      <c r="K174" s="1409"/>
      <c r="L174" s="1409"/>
      <c r="M174" s="1409"/>
      <c r="N174" s="1409"/>
      <c r="O174" s="1409"/>
      <c r="P174" s="1409"/>
      <c r="Q174" s="1409"/>
      <c r="R174" s="1409"/>
      <c r="S174" s="1409"/>
      <c r="T174" s="1409"/>
      <c r="U174" s="1409"/>
      <c r="V174" s="1409"/>
      <c r="W174" s="1409"/>
      <c r="X174" s="1409"/>
      <c r="Y174" s="1409"/>
      <c r="Z174" s="1409"/>
      <c r="AA174" s="1409"/>
      <c r="AB174" s="1409"/>
      <c r="BB174" t="s">
        <v>1968</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417" t="s">
        <v>545</v>
      </c>
      <c r="V175" s="1417"/>
      <c r="BB175" t="s">
        <v>1936</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2078</v>
      </c>
      <c r="T176" s="27" t="s">
        <v>305</v>
      </c>
      <c r="U176" s="1511">
        <v>24</v>
      </c>
      <c r="V176" s="1511"/>
      <c r="W176" s="1" t="s">
        <v>306</v>
      </c>
      <c r="X176" s="1568">
        <v>773</v>
      </c>
      <c r="Y176" s="1568"/>
      <c r="BB176" t="s">
        <v>1969</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417" t="s">
        <v>669</v>
      </c>
      <c r="S177" s="1417"/>
      <c r="BB177" t="s">
        <v>2212</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1202</v>
      </c>
      <c r="AA178" t="s">
        <v>2078</v>
      </c>
      <c r="AE178" s="27" t="s">
        <v>305</v>
      </c>
      <c r="AF178" s="1567"/>
      <c r="AG178" s="1567"/>
      <c r="AH178" s="1" t="s">
        <v>306</v>
      </c>
      <c r="AI178" s="1448"/>
      <c r="AJ178" s="1448"/>
      <c r="AK178" s="1448"/>
      <c r="BB178" t="s">
        <v>2213</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2079</v>
      </c>
      <c r="X180" s="1417" t="s">
        <v>669</v>
      </c>
      <c r="Y180" s="1417"/>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578</v>
      </c>
      <c r="I184" s="1485" t="str">
        <f>H18</f>
        <v>Hillcrest Hall</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579</v>
      </c>
      <c r="I185" s="1373" t="s">
        <v>2620</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580</v>
      </c>
      <c r="I189" s="1524" t="s">
        <v>729</v>
      </c>
      <c r="J189" s="1409"/>
      <c r="K189" s="1409"/>
      <c r="L189" s="1409"/>
      <c r="M189" s="1409"/>
      <c r="N189" s="1409"/>
      <c r="O189" s="1409"/>
      <c r="P189" s="1409"/>
      <c r="Q189" t="s">
        <v>582</v>
      </c>
      <c r="T189" s="1409" t="s">
        <v>729</v>
      </c>
      <c r="U189" s="1409"/>
      <c r="V189" s="1409"/>
      <c r="W189" s="1409"/>
      <c r="X189" s="1409"/>
      <c r="Y189" s="1409"/>
      <c r="Z189" s="1409"/>
      <c r="AA189" s="1409"/>
      <c r="AB189" s="1409"/>
      <c r="AC189" s="1409"/>
      <c r="AD189" s="1409"/>
      <c r="AE189" s="140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583</v>
      </c>
      <c r="I190" s="1373">
        <v>92103</v>
      </c>
      <c r="J190" s="1373"/>
      <c r="K190" s="1373"/>
      <c r="L190" s="1373"/>
      <c r="M190" s="1373"/>
      <c r="N190" s="1373"/>
      <c r="O190" t="s">
        <v>585</v>
      </c>
      <c r="T190" s="1558">
        <v>7</v>
      </c>
      <c r="U190" s="1558"/>
      <c r="V190" s="1558"/>
      <c r="W190" s="1558"/>
      <c r="X190" s="1558"/>
      <c r="Y190" s="1558"/>
      <c r="Z190" s="1558"/>
      <c r="AA190" s="1558"/>
      <c r="AB190" s="1558"/>
      <c r="AC190" s="1558"/>
      <c r="AD190" s="1558"/>
      <c r="AE190" s="1558"/>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462</v>
      </c>
      <c r="N191" s="1530" t="s">
        <v>2621</v>
      </c>
      <c r="O191" s="1530"/>
      <c r="P191" s="1530"/>
      <c r="Q191" s="1530"/>
      <c r="R191" s="1530"/>
      <c r="S191" s="1530"/>
      <c r="T191" s="1530"/>
      <c r="U191" s="1530"/>
      <c r="V191" s="1530"/>
      <c r="W191" s="1530"/>
      <c r="X191" s="1530"/>
      <c r="Y191" s="1530"/>
      <c r="Z191" s="1530"/>
      <c r="AA191" s="1530"/>
      <c r="AB191" s="1530"/>
      <c r="AC191" s="1530"/>
      <c r="AD191" s="1530"/>
      <c r="AE191" s="1530"/>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2080</v>
      </c>
      <c r="M193" s="40"/>
      <c r="N193" s="894"/>
      <c r="O193" s="894"/>
      <c r="P193" s="894"/>
      <c r="Q193" s="894"/>
      <c r="R193" s="894"/>
      <c r="S193" s="894"/>
      <c r="T193" s="1562" t="s">
        <v>1968</v>
      </c>
      <c r="U193" s="1562"/>
      <c r="V193" s="1562"/>
      <c r="W193" s="1562"/>
      <c r="X193" s="1562"/>
      <c r="Y193" s="1562"/>
      <c r="Z193" s="1562"/>
      <c r="AA193" s="1562"/>
      <c r="AB193" s="1562"/>
      <c r="AC193" s="1562"/>
      <c r="AD193" s="1562"/>
      <c r="AE193" s="1562"/>
      <c r="AF193" s="1562"/>
      <c r="AG193" s="1562"/>
      <c r="AH193" s="1562"/>
      <c r="AI193" s="1562"/>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2214</v>
      </c>
      <c r="M194" s="40"/>
      <c r="N194" s="894"/>
      <c r="O194" s="894"/>
      <c r="P194" s="894"/>
      <c r="Q194" s="894"/>
      <c r="R194" s="894"/>
      <c r="S194" s="894"/>
      <c r="AH194" s="1417" t="s">
        <v>669</v>
      </c>
      <c r="AI194" s="1417"/>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331</v>
      </c>
      <c r="T195" s="1417" t="s">
        <v>545</v>
      </c>
      <c r="U195" s="1417"/>
      <c r="W195" t="s">
        <v>684</v>
      </c>
      <c r="AH195" s="1417">
        <v>50</v>
      </c>
      <c r="AI195" s="1417"/>
      <c r="BC195" t="s">
        <v>1855</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386</v>
      </c>
      <c r="T196" s="1429" t="s">
        <v>669</v>
      </c>
      <c r="U196" s="1429"/>
      <c r="W196" t="s">
        <v>685</v>
      </c>
      <c r="AH196" s="1417">
        <v>78</v>
      </c>
      <c r="AI196" s="1417"/>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169</v>
      </c>
      <c r="T197" s="1429" t="s">
        <v>669</v>
      </c>
      <c r="U197" s="1429"/>
      <c r="W197" t="s">
        <v>686</v>
      </c>
      <c r="AH197" s="1417">
        <v>39</v>
      </c>
      <c r="AI197" s="1417"/>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29">
        <v>0</v>
      </c>
      <c r="U198" s="1429"/>
      <c r="V198"/>
      <c r="X198" s="1538" t="s">
        <v>2513</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417" t="s">
        <v>669</v>
      </c>
      <c r="U199" s="1417"/>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2514</v>
      </c>
      <c r="T200" s="1417" t="s">
        <v>669</v>
      </c>
      <c r="U200" s="1417"/>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85" t="s">
        <v>385</v>
      </c>
      <c r="E204" s="1485"/>
      <c r="F204" s="1485"/>
      <c r="G204" s="1485"/>
      <c r="H204" s="1485"/>
      <c r="I204" s="1485"/>
      <c r="J204" s="1485"/>
      <c r="K204" s="1485"/>
      <c r="L204" s="1485"/>
      <c r="M204" s="1485"/>
      <c r="P204" s="1553">
        <f>M26</f>
        <v>2713558</v>
      </c>
      <c r="Q204" s="1554"/>
      <c r="R204" s="1554"/>
      <c r="S204" s="1554"/>
      <c r="T204" s="1554"/>
      <c r="U204" s="1554"/>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40" t="s">
        <v>1246</v>
      </c>
      <c r="E205" s="1485"/>
      <c r="F205" s="1485"/>
      <c r="G205" s="1485"/>
      <c r="H205" s="1485"/>
      <c r="I205" s="1485"/>
      <c r="J205" s="1485"/>
      <c r="K205" s="1485"/>
      <c r="L205" s="1485"/>
      <c r="M205" s="1485"/>
      <c r="P205" s="1554">
        <f>M27</f>
        <v>12000000</v>
      </c>
      <c r="Q205" s="1554"/>
      <c r="R205" s="1554"/>
      <c r="S205" s="1554"/>
      <c r="T205" s="1554"/>
      <c r="U205" s="1554"/>
      <c r="V205" s="28"/>
      <c r="W205" s="3" t="s">
        <v>1718</v>
      </c>
      <c r="Z205" s="1536" t="s">
        <v>2218</v>
      </c>
      <c r="AA205" s="1536"/>
      <c r="AB205" s="1536"/>
      <c r="AC205" s="1536"/>
      <c r="AD205" s="1536"/>
      <c r="AE205" s="1536"/>
      <c r="AF205" s="1536"/>
      <c r="AG205" s="1536"/>
      <c r="AH205" s="1536"/>
      <c r="AI205" s="1536"/>
      <c r="AJ205" s="1536"/>
      <c r="AK205" s="1536"/>
      <c r="AL205" s="1536"/>
      <c r="AM205" s="1536"/>
      <c r="AN205" s="1536"/>
      <c r="AP205" s="1407"/>
      <c r="AQ205" s="1407"/>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27" t="s">
        <v>2622</v>
      </c>
      <c r="E208" s="1527"/>
      <c r="F208" s="1527"/>
      <c r="G208" s="1527"/>
      <c r="H208" s="1527"/>
      <c r="I208" s="1527"/>
      <c r="J208" s="1527"/>
      <c r="K208" s="1527"/>
      <c r="L208" s="1527"/>
      <c r="M208" s="1527"/>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7" t="s">
        <v>1040</v>
      </c>
      <c r="E211" s="1527"/>
      <c r="F211" s="1527"/>
      <c r="G211" s="1527"/>
      <c r="H211" s="1527"/>
      <c r="I211" s="1527"/>
      <c r="J211" s="1527"/>
      <c r="K211" s="1527"/>
      <c r="L211" s="1527"/>
      <c r="M211" s="152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417">
        <v>11</v>
      </c>
      <c r="R212" s="1417"/>
      <c r="T212" s="1565">
        <f>IFERROR(Q212/AG440,0)</f>
        <v>0.1134020618556701</v>
      </c>
      <c r="U212" s="1566"/>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9" t="s">
        <v>591</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530</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527</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566</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377</v>
      </c>
    </row>
    <row r="220" spans="1:108" ht="13" customHeight="1">
      <c r="A220" s="2"/>
      <c r="C220" s="2"/>
      <c r="D220" s="1527" t="s">
        <v>611</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9" t="s">
        <v>2464</v>
      </c>
      <c r="AD220" s="1539"/>
      <c r="AE220" s="1539"/>
      <c r="AF220" s="1539"/>
      <c r="AG220" s="1539"/>
      <c r="AH220" s="1539"/>
      <c r="AI220" s="1539"/>
      <c r="AJ220" s="1539"/>
      <c r="AK220" s="1539"/>
      <c r="AL220" s="1539"/>
      <c r="AM220" s="1539"/>
      <c r="AN220" s="1539"/>
      <c r="AO220" s="1539"/>
      <c r="AP220" s="1539"/>
      <c r="AQ220" s="1539"/>
      <c r="BA220" s="3"/>
      <c r="BC220" t="s">
        <v>300</v>
      </c>
    </row>
    <row r="221" spans="1:108" ht="13" customHeight="1">
      <c r="A221" s="2"/>
      <c r="B221" s="14"/>
      <c r="C221" s="2"/>
      <c r="BA221" s="3"/>
    </row>
    <row r="222" spans="1:108" ht="13" customHeight="1">
      <c r="A222" s="1537" t="s">
        <v>540</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3"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3" customHeight="1">
      <c r="AZ224" s="4"/>
      <c r="BA224" s="3"/>
      <c r="BB224" s="3"/>
      <c r="BQ224" s="34"/>
    </row>
    <row r="225" spans="1:59" ht="13"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545</v>
      </c>
      <c r="AJ226" s="1417"/>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591</v>
      </c>
      <c r="AJ227" s="1417"/>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591</v>
      </c>
      <c r="AJ228" s="1417"/>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2</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591</v>
      </c>
      <c r="AJ229" s="1417"/>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59" t="str">
        <f>H16</f>
        <v>Hillcrest Hall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5" t="s">
        <v>538</v>
      </c>
      <c r="BG232" s="241">
        <f>IF(AND(AND($M$249="nonprofit",$M$257="nonprofit",$M$265="for profit")),2,0)</f>
        <v>0</v>
      </c>
    </row>
    <row r="233" spans="1:59" ht="13" customHeight="1">
      <c r="D233" s="4" t="s">
        <v>85</v>
      </c>
      <c r="E233" s="4"/>
      <c r="F233" s="4"/>
      <c r="G233" s="4"/>
      <c r="H233" s="4"/>
      <c r="I233" s="4"/>
      <c r="J233" s="4"/>
      <c r="K233" s="4"/>
      <c r="M233" s="1527" t="s">
        <v>2623</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538</v>
      </c>
      <c r="BG233" s="241">
        <f>IF(AND(AND($M$249="nonprofit",$M$257="for profit",$M$265="nonprofit")),2,0)</f>
        <v>0</v>
      </c>
    </row>
    <row r="234" spans="1:59" ht="13" customHeight="1">
      <c r="D234" s="4" t="s">
        <v>580</v>
      </c>
      <c r="E234" s="4"/>
      <c r="M234" s="1527" t="s">
        <v>2624</v>
      </c>
      <c r="N234" s="1527"/>
      <c r="O234" s="1527"/>
      <c r="P234" s="1527"/>
      <c r="Q234" s="1527"/>
      <c r="R234" s="1527"/>
      <c r="S234" s="1527"/>
      <c r="T234" s="1527"/>
      <c r="V234" s="33" t="s">
        <v>86</v>
      </c>
      <c r="W234" s="1535" t="s">
        <v>2625</v>
      </c>
      <c r="X234" s="1473"/>
      <c r="Y234" s="4" t="s">
        <v>583</v>
      </c>
      <c r="AC234" s="1527">
        <v>10168</v>
      </c>
      <c r="AD234" s="1527"/>
      <c r="AE234" s="1527"/>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524" t="s">
        <v>2612</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3" customHeight="1">
      <c r="D236" s="4" t="s">
        <v>88</v>
      </c>
      <c r="E236" s="4"/>
      <c r="F236" s="4"/>
      <c r="M236" s="1489" t="s">
        <v>2626</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537</v>
      </c>
      <c r="BG236" s="241">
        <f>IF(AND(AND($M$249="nonprofit",$M$257="nonprofit",$M$265="(select one)")),1,0)</f>
        <v>0</v>
      </c>
    </row>
    <row r="237" spans="1:59" ht="13" customHeight="1">
      <c r="D237" s="4" t="s">
        <v>90</v>
      </c>
      <c r="E237" s="4"/>
      <c r="F237" s="4"/>
      <c r="M237" s="1543" t="s">
        <v>2627</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3" t="s">
        <v>528</v>
      </c>
      <c r="N238" s="1373"/>
      <c r="O238" s="1373"/>
      <c r="P238" s="1373"/>
      <c r="Q238" s="1373"/>
      <c r="R238" s="1373"/>
      <c r="S238" s="1373"/>
      <c r="T238" s="1373"/>
      <c r="U238" s="204" t="s">
        <v>906</v>
      </c>
      <c r="V238" s="204"/>
      <c r="W238" s="204"/>
      <c r="X238" s="204"/>
      <c r="Y238" s="204"/>
      <c r="Z238" s="204"/>
      <c r="AA238" s="1569"/>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9"/>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70" t="s">
        <v>2696</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2634</v>
      </c>
      <c r="AG243" s="1545"/>
      <c r="AH243" s="1545"/>
      <c r="AI243" s="1545"/>
      <c r="AJ243" s="1545"/>
      <c r="AK243" s="1545"/>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7" t="s">
        <v>2629</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1178</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527" t="s">
        <v>494</v>
      </c>
      <c r="N245" s="1527"/>
      <c r="O245" s="1527"/>
      <c r="P245" s="1527"/>
      <c r="Q245" s="1527"/>
      <c r="R245" s="1527"/>
      <c r="S245" s="1527"/>
      <c r="T245" s="1527"/>
      <c r="V245" s="33" t="s">
        <v>86</v>
      </c>
      <c r="W245" s="1535" t="s">
        <v>2630</v>
      </c>
      <c r="X245" s="1473"/>
      <c r="Y245" s="4" t="s">
        <v>583</v>
      </c>
      <c r="AC245" s="1527">
        <v>90032</v>
      </c>
      <c r="AD245" s="1527"/>
      <c r="AE245" s="1527"/>
      <c r="AF245" s="3" t="s">
        <v>1179</v>
      </c>
      <c r="AU245" s="4"/>
      <c r="AV245" s="4"/>
      <c r="AW245" s="4"/>
      <c r="AX245" s="4"/>
      <c r="AY245" s="4"/>
      <c r="BB245" s="4" t="s">
        <v>280</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27" t="s">
        <v>2631</v>
      </c>
      <c r="N246" s="1527"/>
      <c r="O246" s="1527"/>
      <c r="P246" s="1527"/>
      <c r="Q246" s="1527"/>
      <c r="R246" s="1527"/>
      <c r="S246" s="1527"/>
      <c r="T246" s="1527"/>
      <c r="U246" s="1527"/>
      <c r="V246" s="1527"/>
      <c r="W246" s="1527"/>
      <c r="X246" s="1527"/>
      <c r="Y246" s="1527"/>
      <c r="Z246" s="1527"/>
      <c r="AA246" s="1527"/>
      <c r="AB246" s="1527"/>
      <c r="AC246" s="1527"/>
      <c r="AD246" s="1527"/>
      <c r="AE246" s="1527"/>
      <c r="AH246" s="1541">
        <v>2.3999999999999998E-3</v>
      </c>
      <c r="AI246" s="1541"/>
      <c r="AJ246" s="1541"/>
      <c r="AK246" s="1541"/>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489" t="s">
        <v>2632</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3" customHeight="1">
      <c r="A248" s="19"/>
      <c r="B248" s="4"/>
      <c r="C248" s="4"/>
      <c r="D248" s="4" t="s">
        <v>90</v>
      </c>
      <c r="E248" s="4"/>
      <c r="F248" s="4"/>
      <c r="M248" s="1543" t="s">
        <v>2633</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3" t="s">
        <v>534</v>
      </c>
      <c r="N249" s="1373"/>
      <c r="O249" s="1373"/>
      <c r="P249" s="1373"/>
      <c r="Q249" s="1373"/>
      <c r="R249" s="1373"/>
      <c r="S249" s="1373"/>
      <c r="T249" s="1373"/>
      <c r="U249" s="204" t="s">
        <v>906</v>
      </c>
      <c r="V249" s="204"/>
      <c r="W249" s="204"/>
      <c r="X249" s="204"/>
      <c r="Y249" s="204"/>
      <c r="Z249" s="204"/>
      <c r="AA249" s="1563"/>
      <c r="AB249" s="1563"/>
      <c r="AC249" s="1563"/>
      <c r="AD249" s="1563"/>
      <c r="AE249" s="1563"/>
      <c r="AF249" s="1563"/>
      <c r="AG249" s="1563"/>
      <c r="AH249" s="1563"/>
      <c r="AI249" s="1563"/>
      <c r="AJ249" s="1563"/>
      <c r="AK249" s="1563"/>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70" t="s">
        <v>2723</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2635</v>
      </c>
      <c r="AG251" s="1545"/>
      <c r="AH251" s="1545"/>
      <c r="AI251" s="1545"/>
      <c r="AJ251" s="1545"/>
      <c r="AK251" s="1545"/>
      <c r="AU251" s="4"/>
      <c r="AV251" s="4"/>
      <c r="AW251" s="4"/>
      <c r="AX251" s="4"/>
      <c r="AY251" s="4"/>
      <c r="BN251" s="34"/>
    </row>
    <row r="252" spans="1:67" ht="13" customHeight="1">
      <c r="A252" s="19"/>
      <c r="B252" s="4"/>
      <c r="C252" s="4"/>
      <c r="D252" s="4" t="s">
        <v>85</v>
      </c>
      <c r="E252" s="4"/>
      <c r="F252" s="4"/>
      <c r="G252" s="4"/>
      <c r="H252" s="4"/>
      <c r="I252" s="4"/>
      <c r="J252" s="4"/>
      <c r="K252" s="4"/>
      <c r="L252" s="4"/>
      <c r="M252" s="1527" t="s">
        <v>2623</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1178</v>
      </c>
      <c r="AL252" s="4"/>
      <c r="AM252" s="4"/>
      <c r="AN252" s="4"/>
      <c r="AO252" s="4"/>
      <c r="AP252" s="4"/>
      <c r="AQ252" s="4"/>
      <c r="AR252" s="4"/>
      <c r="AS252" s="4"/>
      <c r="AT252" s="4"/>
      <c r="BN252" s="34"/>
    </row>
    <row r="253" spans="1:67" ht="13" customHeight="1">
      <c r="A253" s="19"/>
      <c r="B253" s="4"/>
      <c r="C253" s="4"/>
      <c r="D253" s="4" t="s">
        <v>580</v>
      </c>
      <c r="E253" s="4"/>
      <c r="M253" s="1524" t="s">
        <v>2624</v>
      </c>
      <c r="N253" s="1527"/>
      <c r="O253" s="1527"/>
      <c r="P253" s="1527"/>
      <c r="Q253" s="1527"/>
      <c r="R253" s="1527"/>
      <c r="S253" s="1527"/>
      <c r="T253" s="1527"/>
      <c r="V253" s="33" t="s">
        <v>86</v>
      </c>
      <c r="W253" s="1535" t="s">
        <v>2625</v>
      </c>
      <c r="X253" s="1473"/>
      <c r="Y253" s="4" t="s">
        <v>583</v>
      </c>
      <c r="AC253" s="1527">
        <v>10168</v>
      </c>
      <c r="AD253" s="1527"/>
      <c r="AE253" s="1527"/>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527" t="s">
        <v>2612</v>
      </c>
      <c r="N254" s="1527"/>
      <c r="O254" s="1527"/>
      <c r="P254" s="1527"/>
      <c r="Q254" s="1527"/>
      <c r="R254" s="1527"/>
      <c r="S254" s="1527"/>
      <c r="T254" s="1527"/>
      <c r="U254" s="1527"/>
      <c r="V254" s="1527"/>
      <c r="W254" s="1527"/>
      <c r="X254" s="1527"/>
      <c r="Y254" s="1527"/>
      <c r="Z254" s="1527"/>
      <c r="AA254" s="1527"/>
      <c r="AB254" s="1527"/>
      <c r="AC254" s="1527"/>
      <c r="AD254" s="1527"/>
      <c r="AE254" s="1527"/>
      <c r="AH254" s="1541">
        <v>2.5000000000000001E-3</v>
      </c>
      <c r="AI254" s="1541"/>
      <c r="AJ254" s="1541"/>
      <c r="AK254" s="1541"/>
      <c r="AL254" s="4"/>
      <c r="AM254" s="4"/>
      <c r="AN254" s="4"/>
      <c r="AO254" s="4"/>
      <c r="AP254" s="4"/>
      <c r="AQ254" s="4"/>
      <c r="AR254" s="4"/>
      <c r="AS254" s="4"/>
      <c r="AT254" s="4"/>
    </row>
    <row r="255" spans="1:67" ht="13" customHeight="1">
      <c r="A255" s="19"/>
      <c r="B255" s="4"/>
      <c r="C255" s="4"/>
      <c r="D255" s="4" t="s">
        <v>88</v>
      </c>
      <c r="E255" s="4"/>
      <c r="F255" s="4"/>
      <c r="M255" s="1489" t="s">
        <v>2626</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3" customHeight="1">
      <c r="A256" s="19"/>
      <c r="B256" s="4"/>
      <c r="C256" s="4"/>
      <c r="D256" s="4" t="s">
        <v>90</v>
      </c>
      <c r="E256" s="4"/>
      <c r="F256" s="4"/>
      <c r="M256" s="1543" t="s">
        <v>2627</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3" t="s">
        <v>536</v>
      </c>
      <c r="N257" s="1373"/>
      <c r="O257" s="1373"/>
      <c r="P257" s="1373"/>
      <c r="Q257" s="1373"/>
      <c r="R257" s="1373"/>
      <c r="S257" s="1373"/>
      <c r="T257" s="1373"/>
      <c r="U257" s="204" t="s">
        <v>906</v>
      </c>
      <c r="V257" s="204"/>
      <c r="W257" s="204"/>
      <c r="X257" s="204"/>
      <c r="Y257" s="204"/>
      <c r="Z257" s="204"/>
      <c r="AA257" s="1569" t="s">
        <v>2628</v>
      </c>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45" t="s">
        <v>2636</v>
      </c>
      <c r="N259" s="1545"/>
      <c r="O259" s="1545"/>
      <c r="P259" s="1545"/>
      <c r="Q259" s="1545"/>
      <c r="R259" s="1545"/>
      <c r="S259" s="1545"/>
      <c r="T259" s="1545"/>
      <c r="U259" s="1545"/>
      <c r="V259" s="1545"/>
      <c r="W259" s="1545"/>
      <c r="X259" s="1545"/>
      <c r="Y259" s="1545"/>
      <c r="Z259" s="1545"/>
      <c r="AA259" s="1545"/>
      <c r="AB259" s="1545"/>
      <c r="AC259" s="1545"/>
      <c r="AD259" s="1545"/>
      <c r="AE259" s="1545"/>
      <c r="AF259" s="1545" t="s">
        <v>2635</v>
      </c>
      <c r="AG259" s="1545"/>
      <c r="AH259" s="1545"/>
      <c r="AI259" s="1545"/>
      <c r="AJ259" s="1545"/>
      <c r="AK259" s="1545"/>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4" t="s">
        <v>2639</v>
      </c>
      <c r="N260" s="1527"/>
      <c r="O260" s="1527"/>
      <c r="P260" s="1527"/>
      <c r="Q260" s="1527"/>
      <c r="R260" s="1527"/>
      <c r="S260" s="1527"/>
      <c r="T260" s="1527"/>
      <c r="U260" s="1527"/>
      <c r="V260" s="1527"/>
      <c r="W260" s="1527"/>
      <c r="X260" s="1527"/>
      <c r="Y260" s="1527"/>
      <c r="Z260" s="1527"/>
      <c r="AA260" s="1527"/>
      <c r="AB260" s="1527"/>
      <c r="AC260" s="1527"/>
      <c r="AD260" s="1527"/>
      <c r="AE260" s="1527"/>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4" t="s">
        <v>729</v>
      </c>
      <c r="N261" s="1527"/>
      <c r="O261" s="1527"/>
      <c r="P261" s="1527"/>
      <c r="Q261" s="1527"/>
      <c r="R261" s="1527"/>
      <c r="S261" s="1527"/>
      <c r="T261" s="1527"/>
      <c r="V261" s="33" t="s">
        <v>86</v>
      </c>
      <c r="W261" s="1535" t="s">
        <v>2630</v>
      </c>
      <c r="X261" s="1473"/>
      <c r="Y261" s="4" t="s">
        <v>583</v>
      </c>
      <c r="AC261" s="1527">
        <v>92122</v>
      </c>
      <c r="AD261" s="1527"/>
      <c r="AE261" s="1527"/>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7" t="s">
        <v>2637</v>
      </c>
      <c r="N262" s="1527"/>
      <c r="O262" s="1527"/>
      <c r="P262" s="1527"/>
      <c r="Q262" s="1527"/>
      <c r="R262" s="1527"/>
      <c r="S262" s="1527"/>
      <c r="T262" s="1527"/>
      <c r="U262" s="1527"/>
      <c r="V262" s="1527"/>
      <c r="W262" s="1527"/>
      <c r="X262" s="1527"/>
      <c r="Y262" s="1527"/>
      <c r="Z262" s="1527"/>
      <c r="AA262" s="1527"/>
      <c r="AB262" s="1527"/>
      <c r="AC262" s="1527"/>
      <c r="AD262" s="1527"/>
      <c r="AE262" s="1527"/>
      <c r="AH262" s="1541">
        <v>5.1000000000000004E-3</v>
      </c>
      <c r="AI262" s="1541"/>
      <c r="AJ262" s="1541"/>
      <c r="AK262" s="154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3" t="s">
        <v>2638</v>
      </c>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3" t="s">
        <v>536</v>
      </c>
      <c r="N265" s="1373"/>
      <c r="O265" s="1373"/>
      <c r="P265" s="1373"/>
      <c r="Q265" s="1373"/>
      <c r="R265" s="1373"/>
      <c r="S265" s="1373"/>
      <c r="T265" s="1373"/>
      <c r="U265" s="204" t="s">
        <v>906</v>
      </c>
      <c r="V265" s="204"/>
      <c r="W265" s="204"/>
      <c r="X265" s="204"/>
      <c r="Y265" s="204"/>
      <c r="Z265" s="204"/>
      <c r="AA265" s="1578"/>
      <c r="AB265" s="1578"/>
      <c r="AC265" s="1578"/>
      <c r="AD265" s="1578"/>
      <c r="AE265" s="1578"/>
      <c r="AF265" s="1578"/>
      <c r="AG265" s="1578"/>
      <c r="AH265" s="1578"/>
      <c r="AI265" s="1578"/>
      <c r="AJ265" s="1578"/>
      <c r="AK265" s="1578"/>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572" t="str">
        <f>IFERROR(BO245,"")</f>
        <v>Joint Venture</v>
      </c>
      <c r="U267" s="1572"/>
      <c r="V267" s="1572"/>
      <c r="W267" s="1572"/>
      <c r="X267" s="1572"/>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27" t="s">
        <v>280</v>
      </c>
      <c r="E270" s="1527"/>
      <c r="F270" s="1527"/>
      <c r="G270" s="1527"/>
      <c r="H270" s="1527"/>
      <c r="J270" t="s">
        <v>279</v>
      </c>
      <c r="X270" s="1508"/>
      <c r="Y270" s="1508"/>
      <c r="Z270" s="1508"/>
      <c r="AA270" s="1508"/>
      <c r="AB270" s="1508"/>
      <c r="AC270" s="1508"/>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70" t="s">
        <v>2628</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7" t="s">
        <v>2623</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3" customHeight="1">
      <c r="D276" s="4" t="s">
        <v>580</v>
      </c>
      <c r="E276" s="4"/>
      <c r="L276" s="1524" t="s">
        <v>2624</v>
      </c>
      <c r="M276" s="1527"/>
      <c r="N276" s="1527"/>
      <c r="O276" s="1527"/>
      <c r="P276" s="1527"/>
      <c r="Q276" s="1527"/>
      <c r="R276" s="1527"/>
      <c r="S276" s="1527"/>
      <c r="U276" s="33" t="s">
        <v>86</v>
      </c>
      <c r="V276" s="1535" t="s">
        <v>2625</v>
      </c>
      <c r="W276" s="1473"/>
      <c r="X276" s="4" t="s">
        <v>583</v>
      </c>
      <c r="AB276" s="1527">
        <v>10168</v>
      </c>
      <c r="AC276" s="1527"/>
      <c r="AD276" s="152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7" t="s">
        <v>2640</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3" customHeight="1">
      <c r="D278" s="4" t="s">
        <v>88</v>
      </c>
      <c r="E278" s="4"/>
      <c r="F278" s="4"/>
      <c r="L278" s="1489" t="s">
        <v>2641</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3" customHeight="1">
      <c r="D279" s="4" t="s">
        <v>90</v>
      </c>
      <c r="E279" s="4"/>
      <c r="F279" s="4"/>
      <c r="L279" s="1543" t="s">
        <v>2642</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3" customHeight="1">
      <c r="D280" s="3" t="s">
        <v>623</v>
      </c>
      <c r="E280" s="3"/>
      <c r="F280" s="3"/>
      <c r="G280" s="3"/>
      <c r="H280" s="3"/>
      <c r="I280" s="3"/>
      <c r="L280" s="1535" t="s">
        <v>2643</v>
      </c>
      <c r="M280" s="1535"/>
      <c r="N280" s="1535"/>
      <c r="O280" s="1535"/>
      <c r="P280" s="1535"/>
      <c r="Q280" s="1535"/>
      <c r="R280" s="1535"/>
      <c r="S280" s="1535"/>
      <c r="T280" s="1535"/>
      <c r="U280" s="1535"/>
      <c r="V280" s="1535"/>
      <c r="W280" s="1535"/>
      <c r="X280" s="1535"/>
      <c r="Y280" s="1535"/>
      <c r="Z280" s="1535"/>
      <c r="AA280" s="1535"/>
      <c r="AB280" s="1535"/>
      <c r="AC280" s="1535"/>
      <c r="AD280" s="1535"/>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7" t="s">
        <v>541</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3"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9" t="s">
        <v>2628</v>
      </c>
      <c r="I287" s="1409"/>
      <c r="J287" s="1409"/>
      <c r="K287" s="1409"/>
      <c r="L287" s="1409"/>
      <c r="M287" s="1409"/>
      <c r="N287" s="1409"/>
      <c r="O287" s="1409"/>
      <c r="P287" s="1409"/>
      <c r="Q287" s="1409"/>
      <c r="R287" s="1409"/>
      <c r="T287" s="3" t="s">
        <v>567</v>
      </c>
      <c r="V287" s="3"/>
      <c r="W287" s="3"/>
      <c r="X287" s="3"/>
      <c r="Y287" s="3"/>
      <c r="AA287" s="1409" t="s">
        <v>2645</v>
      </c>
      <c r="AB287" s="1409"/>
      <c r="AC287" s="1409"/>
      <c r="AD287" s="1409"/>
      <c r="AE287" s="1409"/>
      <c r="AF287" s="1409"/>
      <c r="AG287" s="1409"/>
      <c r="AH287" s="1409"/>
      <c r="AI287" s="1409"/>
      <c r="AJ287" s="1409"/>
      <c r="AK287" s="1409"/>
    </row>
    <row r="288" spans="1:51" ht="13" customHeight="1">
      <c r="B288" s="3" t="s">
        <v>471</v>
      </c>
      <c r="C288" s="3"/>
      <c r="D288" s="3"/>
      <c r="E288" s="3"/>
      <c r="F288" s="3"/>
      <c r="H288" s="1373" t="s">
        <v>2623</v>
      </c>
      <c r="I288" s="1373"/>
      <c r="J288" s="1373"/>
      <c r="K288" s="1373"/>
      <c r="L288" s="1373"/>
      <c r="M288" s="1373"/>
      <c r="N288" s="1373"/>
      <c r="O288" s="1373"/>
      <c r="P288" s="1373"/>
      <c r="Q288" s="1373"/>
      <c r="R288" s="1373"/>
      <c r="T288" s="3" t="s">
        <v>471</v>
      </c>
      <c r="V288" s="3"/>
      <c r="W288" s="3"/>
      <c r="X288" s="3"/>
      <c r="Y288" s="3"/>
      <c r="AA288" s="1373" t="s">
        <v>2646</v>
      </c>
      <c r="AB288" s="1373"/>
      <c r="AC288" s="1373"/>
      <c r="AD288" s="1373"/>
      <c r="AE288" s="1373"/>
      <c r="AF288" s="1373"/>
      <c r="AG288" s="1373"/>
      <c r="AH288" s="1373"/>
      <c r="AI288" s="1373"/>
      <c r="AJ288" s="1373"/>
      <c r="AK288" s="1373"/>
    </row>
    <row r="289" spans="2:37" ht="13" customHeight="1">
      <c r="B289" s="3" t="s">
        <v>472</v>
      </c>
      <c r="C289" s="3"/>
      <c r="D289" s="3"/>
      <c r="E289" s="3"/>
      <c r="F289" s="3"/>
      <c r="H289" s="1373" t="s">
        <v>2644</v>
      </c>
      <c r="I289" s="1373"/>
      <c r="J289" s="1373"/>
      <c r="K289" s="1373"/>
      <c r="L289" s="1373"/>
      <c r="M289" s="1373"/>
      <c r="N289" s="1373"/>
      <c r="O289" s="1373"/>
      <c r="P289" s="1373"/>
      <c r="Q289" s="1373"/>
      <c r="R289" s="1373"/>
      <c r="T289" s="3" t="s">
        <v>75</v>
      </c>
      <c r="V289" s="3"/>
      <c r="W289" s="3"/>
      <c r="X289" s="3"/>
      <c r="Y289" s="3"/>
      <c r="AA289" s="1373" t="s">
        <v>2647</v>
      </c>
      <c r="AB289" s="1373"/>
      <c r="AC289" s="1373"/>
      <c r="AD289" s="1373"/>
      <c r="AE289" s="1373"/>
      <c r="AF289" s="1373"/>
      <c r="AG289" s="1373"/>
      <c r="AH289" s="1373"/>
      <c r="AI289" s="1373"/>
      <c r="AJ289" s="1373"/>
      <c r="AK289" s="1373"/>
    </row>
    <row r="290" spans="2:37" ht="13" customHeight="1">
      <c r="B290" s="3" t="s">
        <v>87</v>
      </c>
      <c r="C290" s="3"/>
      <c r="D290" s="3"/>
      <c r="E290" s="3"/>
      <c r="F290" s="3"/>
      <c r="H290" s="1373" t="s">
        <v>2612</v>
      </c>
      <c r="I290" s="1373"/>
      <c r="J290" s="1373"/>
      <c r="K290" s="1373"/>
      <c r="L290" s="1373"/>
      <c r="M290" s="1373"/>
      <c r="N290" s="1373"/>
      <c r="O290" s="1373"/>
      <c r="P290" s="1373"/>
      <c r="Q290" s="1373"/>
      <c r="R290" s="1373"/>
      <c r="T290" s="3" t="s">
        <v>87</v>
      </c>
      <c r="V290" s="3"/>
      <c r="W290" s="3"/>
      <c r="X290" s="3"/>
      <c r="Y290" s="3"/>
      <c r="AA290" s="1373" t="s">
        <v>2648</v>
      </c>
      <c r="AB290" s="1373"/>
      <c r="AC290" s="1373"/>
      <c r="AD290" s="1373"/>
      <c r="AE290" s="1373"/>
      <c r="AF290" s="1373"/>
      <c r="AG290" s="1373"/>
      <c r="AH290" s="1373"/>
      <c r="AI290" s="1373"/>
      <c r="AJ290" s="1373"/>
      <c r="AK290" s="1373"/>
    </row>
    <row r="291" spans="2:37" ht="13" customHeight="1">
      <c r="B291" s="3" t="s">
        <v>88</v>
      </c>
      <c r="C291" s="3"/>
      <c r="D291" s="3"/>
      <c r="E291" s="3"/>
      <c r="F291" s="3"/>
      <c r="G291" s="3"/>
      <c r="H291" s="1546" t="s">
        <v>2626</v>
      </c>
      <c r="I291" s="1546"/>
      <c r="J291" s="1546"/>
      <c r="K291" s="1546"/>
      <c r="L291" s="1546"/>
      <c r="M291" s="1546"/>
      <c r="N291" s="4" t="s">
        <v>206</v>
      </c>
      <c r="O291" s="4"/>
      <c r="P291" s="1527"/>
      <c r="Q291" s="1527"/>
      <c r="R291" s="1527"/>
      <c r="S291" s="3"/>
      <c r="T291" s="3" t="s">
        <v>88</v>
      </c>
      <c r="V291" s="3"/>
      <c r="W291" s="3"/>
      <c r="X291" s="3"/>
      <c r="Y291" s="3"/>
      <c r="AA291" s="1546" t="s">
        <v>2649</v>
      </c>
      <c r="AB291" s="1546"/>
      <c r="AC291" s="1546"/>
      <c r="AD291" s="1546"/>
      <c r="AE291" s="1546"/>
      <c r="AF291" s="1546"/>
      <c r="AG291" s="4" t="s">
        <v>206</v>
      </c>
      <c r="AH291" s="4"/>
      <c r="AI291" s="1527"/>
      <c r="AJ291" s="1527"/>
      <c r="AK291" s="1527"/>
    </row>
    <row r="292" spans="2:37" ht="13"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3" customHeight="1">
      <c r="B293" s="3" t="s">
        <v>76</v>
      </c>
      <c r="C293" s="3"/>
      <c r="D293" s="3"/>
      <c r="E293" s="3"/>
      <c r="F293" s="3"/>
      <c r="G293" s="3"/>
      <c r="H293" s="1373" t="s">
        <v>2627</v>
      </c>
      <c r="I293" s="1373"/>
      <c r="J293" s="1373"/>
      <c r="K293" s="1373"/>
      <c r="L293" s="1373"/>
      <c r="M293" s="1373"/>
      <c r="N293" s="1409"/>
      <c r="O293" s="1409"/>
      <c r="P293" s="1409"/>
      <c r="Q293" s="1409"/>
      <c r="R293" s="1409"/>
      <c r="S293" s="3"/>
      <c r="T293" s="3" t="s">
        <v>76</v>
      </c>
      <c r="V293" s="3"/>
      <c r="W293" s="3"/>
      <c r="X293" s="3"/>
      <c r="Y293" s="3"/>
      <c r="AA293" s="1373" t="s">
        <v>2650</v>
      </c>
      <c r="AB293" s="1373"/>
      <c r="AC293" s="1373"/>
      <c r="AD293" s="1373"/>
      <c r="AE293" s="1373"/>
      <c r="AF293" s="1373"/>
      <c r="AG293" s="1409"/>
      <c r="AH293" s="1409"/>
      <c r="AI293" s="1409"/>
      <c r="AJ293" s="1409"/>
      <c r="AK293" s="1409"/>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9" t="s">
        <v>2651</v>
      </c>
      <c r="I295" s="1409"/>
      <c r="J295" s="1409"/>
      <c r="K295" s="1409"/>
      <c r="L295" s="1409"/>
      <c r="M295" s="1409"/>
      <c r="N295" s="1409"/>
      <c r="O295" s="1409"/>
      <c r="P295" s="1409"/>
      <c r="Q295" s="1409"/>
      <c r="R295" s="1409"/>
      <c r="T295" s="3" t="s">
        <v>364</v>
      </c>
      <c r="V295" s="3"/>
      <c r="W295" s="3"/>
      <c r="X295" s="3"/>
      <c r="Y295" s="3"/>
      <c r="AA295" s="1409" t="s">
        <v>2657</v>
      </c>
      <c r="AB295" s="1409"/>
      <c r="AC295" s="1409"/>
      <c r="AD295" s="1409"/>
      <c r="AE295" s="1409"/>
      <c r="AF295" s="1409"/>
      <c r="AG295" s="1409"/>
      <c r="AH295" s="1409"/>
      <c r="AI295" s="1409"/>
      <c r="AJ295" s="1409"/>
      <c r="AK295" s="1409"/>
    </row>
    <row r="296" spans="2:37" ht="13" customHeight="1">
      <c r="B296" s="3" t="s">
        <v>471</v>
      </c>
      <c r="C296" s="3"/>
      <c r="D296" s="3"/>
      <c r="E296" s="3"/>
      <c r="F296" s="3"/>
      <c r="H296" s="1373" t="s">
        <v>2652</v>
      </c>
      <c r="I296" s="1373"/>
      <c r="J296" s="1373"/>
      <c r="K296" s="1373"/>
      <c r="L296" s="1373"/>
      <c r="M296" s="1373"/>
      <c r="N296" s="1373"/>
      <c r="O296" s="1373"/>
      <c r="P296" s="1373"/>
      <c r="Q296" s="1373"/>
      <c r="R296" s="1373"/>
      <c r="T296" s="3" t="s">
        <v>471</v>
      </c>
      <c r="V296" s="3"/>
      <c r="W296" s="3"/>
      <c r="X296" s="3"/>
      <c r="Y296" s="3"/>
      <c r="AA296" s="1373" t="s">
        <v>2658</v>
      </c>
      <c r="AB296" s="1373"/>
      <c r="AC296" s="1373"/>
      <c r="AD296" s="1373"/>
      <c r="AE296" s="1373"/>
      <c r="AF296" s="1373"/>
      <c r="AG296" s="1373"/>
      <c r="AH296" s="1373"/>
      <c r="AI296" s="1373"/>
      <c r="AJ296" s="1373"/>
      <c r="AK296" s="1373"/>
    </row>
    <row r="297" spans="2:37" ht="13" customHeight="1">
      <c r="B297" s="3" t="s">
        <v>472</v>
      </c>
      <c r="C297" s="3"/>
      <c r="D297" s="3"/>
      <c r="E297" s="3"/>
      <c r="F297" s="3"/>
      <c r="H297" s="1373" t="s">
        <v>2653</v>
      </c>
      <c r="I297" s="1373"/>
      <c r="J297" s="1373"/>
      <c r="K297" s="1373"/>
      <c r="L297" s="1373"/>
      <c r="M297" s="1373"/>
      <c r="N297" s="1373"/>
      <c r="O297" s="1373"/>
      <c r="P297" s="1373"/>
      <c r="Q297" s="1373"/>
      <c r="R297" s="1373"/>
      <c r="T297" s="3" t="s">
        <v>75</v>
      </c>
      <c r="V297" s="3"/>
      <c r="W297" s="3"/>
      <c r="X297" s="3"/>
      <c r="Y297" s="3"/>
      <c r="AA297" s="1373" t="s">
        <v>2659</v>
      </c>
      <c r="AB297" s="1373"/>
      <c r="AC297" s="1373"/>
      <c r="AD297" s="1373"/>
      <c r="AE297" s="1373"/>
      <c r="AF297" s="1373"/>
      <c r="AG297" s="1373"/>
      <c r="AH297" s="1373"/>
      <c r="AI297" s="1373"/>
      <c r="AJ297" s="1373"/>
      <c r="AK297" s="1373"/>
    </row>
    <row r="298" spans="2:37" ht="13" customHeight="1">
      <c r="B298" s="3" t="s">
        <v>87</v>
      </c>
      <c r="C298" s="3"/>
      <c r="D298" s="3"/>
      <c r="E298" s="3"/>
      <c r="F298" s="3"/>
      <c r="H298" s="1373" t="s">
        <v>2654</v>
      </c>
      <c r="I298" s="1373"/>
      <c r="J298" s="1373"/>
      <c r="K298" s="1373"/>
      <c r="L298" s="1373"/>
      <c r="M298" s="1373"/>
      <c r="N298" s="1373"/>
      <c r="O298" s="1373"/>
      <c r="P298" s="1373"/>
      <c r="Q298" s="1373"/>
      <c r="R298" s="1373"/>
      <c r="T298" s="3" t="s">
        <v>87</v>
      </c>
      <c r="V298" s="3"/>
      <c r="W298" s="3"/>
      <c r="X298" s="3"/>
      <c r="Y298" s="3"/>
      <c r="AA298" s="1373" t="s">
        <v>2660</v>
      </c>
      <c r="AB298" s="1373"/>
      <c r="AC298" s="1373"/>
      <c r="AD298" s="1373"/>
      <c r="AE298" s="1373"/>
      <c r="AF298" s="1373"/>
      <c r="AG298" s="1373"/>
      <c r="AH298" s="1373"/>
      <c r="AI298" s="1373"/>
      <c r="AJ298" s="1373"/>
      <c r="AK298" s="1373"/>
    </row>
    <row r="299" spans="2:37" ht="13" customHeight="1">
      <c r="B299" s="3" t="s">
        <v>88</v>
      </c>
      <c r="C299" s="3"/>
      <c r="D299" s="3"/>
      <c r="E299" s="3"/>
      <c r="F299" s="3"/>
      <c r="G299" s="3"/>
      <c r="H299" s="1546" t="s">
        <v>2655</v>
      </c>
      <c r="I299" s="1546"/>
      <c r="J299" s="1546"/>
      <c r="K299" s="1546"/>
      <c r="L299" s="1546"/>
      <c r="M299" s="1546"/>
      <c r="N299" s="4" t="s">
        <v>206</v>
      </c>
      <c r="O299" s="4"/>
      <c r="P299" s="1527"/>
      <c r="Q299" s="1527"/>
      <c r="R299" s="1527"/>
      <c r="S299" s="3"/>
      <c r="T299" s="3" t="s">
        <v>88</v>
      </c>
      <c r="V299" s="3"/>
      <c r="W299" s="3"/>
      <c r="X299" s="3"/>
      <c r="Y299" s="3"/>
      <c r="AA299" s="1546" t="s">
        <v>2661</v>
      </c>
      <c r="AB299" s="1546"/>
      <c r="AC299" s="1546"/>
      <c r="AD299" s="1546"/>
      <c r="AE299" s="1546"/>
      <c r="AF299" s="1546"/>
      <c r="AG299" s="4" t="s">
        <v>206</v>
      </c>
      <c r="AH299" s="4"/>
      <c r="AI299" s="1527"/>
      <c r="AJ299" s="1527"/>
      <c r="AK299" s="1527"/>
    </row>
    <row r="300" spans="2:37" ht="13"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3" customHeight="1">
      <c r="B301" s="3" t="s">
        <v>76</v>
      </c>
      <c r="C301" s="3"/>
      <c r="D301" s="3"/>
      <c r="E301" s="3"/>
      <c r="F301" s="3"/>
      <c r="G301" s="3"/>
      <c r="H301" s="1373" t="s">
        <v>2656</v>
      </c>
      <c r="I301" s="1373"/>
      <c r="J301" s="1373"/>
      <c r="K301" s="1373"/>
      <c r="L301" s="1373"/>
      <c r="M301" s="1373"/>
      <c r="N301" s="1409"/>
      <c r="O301" s="1409"/>
      <c r="P301" s="1409"/>
      <c r="Q301" s="1409"/>
      <c r="R301" s="1409"/>
      <c r="S301" s="3"/>
      <c r="T301" s="3" t="s">
        <v>76</v>
      </c>
      <c r="V301" s="3"/>
      <c r="W301" s="3"/>
      <c r="X301" s="3"/>
      <c r="Y301" s="3"/>
      <c r="AA301" s="1373" t="s">
        <v>2662</v>
      </c>
      <c r="AB301" s="1373"/>
      <c r="AC301" s="1373"/>
      <c r="AD301" s="1373"/>
      <c r="AE301" s="1373"/>
      <c r="AF301" s="1373"/>
      <c r="AG301" s="1409"/>
      <c r="AH301" s="1409"/>
      <c r="AI301" s="1409"/>
      <c r="AJ301" s="1409"/>
      <c r="AK301" s="1409"/>
    </row>
    <row r="302" spans="2:37" ht="13" customHeight="1"/>
    <row r="303" spans="2:37" ht="13" customHeight="1">
      <c r="B303" s="3" t="s">
        <v>77</v>
      </c>
      <c r="C303" s="3"/>
      <c r="D303" s="3"/>
      <c r="E303" s="3"/>
      <c r="F303" s="3"/>
      <c r="H303" s="1409" t="s">
        <v>2651</v>
      </c>
      <c r="I303" s="1409"/>
      <c r="J303" s="1409"/>
      <c r="K303" s="1409"/>
      <c r="L303" s="1409"/>
      <c r="M303" s="1409"/>
      <c r="N303" s="1409"/>
      <c r="O303" s="1409"/>
      <c r="P303" s="1409"/>
      <c r="Q303" s="1409"/>
      <c r="R303" s="1409"/>
      <c r="T303" s="4" t="s">
        <v>878</v>
      </c>
      <c r="V303" s="3"/>
      <c r="W303" s="3"/>
      <c r="X303" s="3"/>
      <c r="Y303" s="3"/>
      <c r="AA303" s="1409" t="s">
        <v>2663</v>
      </c>
      <c r="AB303" s="1409"/>
      <c r="AC303" s="1409"/>
      <c r="AD303" s="1409"/>
      <c r="AE303" s="1409"/>
      <c r="AF303" s="1409"/>
      <c r="AG303" s="1409"/>
      <c r="AH303" s="1409"/>
      <c r="AI303" s="1409"/>
      <c r="AJ303" s="1409"/>
      <c r="AK303" s="1409"/>
    </row>
    <row r="304" spans="2:37" ht="13" customHeight="1">
      <c r="B304" s="3" t="s">
        <v>471</v>
      </c>
      <c r="C304" s="3"/>
      <c r="D304" s="3"/>
      <c r="E304" s="3"/>
      <c r="F304" s="3"/>
      <c r="H304" s="1373" t="s">
        <v>2652</v>
      </c>
      <c r="I304" s="1373"/>
      <c r="J304" s="1373"/>
      <c r="K304" s="1373"/>
      <c r="L304" s="1373"/>
      <c r="M304" s="1373"/>
      <c r="N304" s="1373"/>
      <c r="O304" s="1373"/>
      <c r="P304" s="1373"/>
      <c r="Q304" s="1373"/>
      <c r="R304" s="1373"/>
      <c r="T304" s="3" t="s">
        <v>471</v>
      </c>
      <c r="V304" s="3"/>
      <c r="W304" s="3"/>
      <c r="X304" s="3"/>
      <c r="Y304" s="3"/>
      <c r="AA304" s="1373" t="s">
        <v>2664</v>
      </c>
      <c r="AB304" s="1373"/>
      <c r="AC304" s="1373"/>
      <c r="AD304" s="1373"/>
      <c r="AE304" s="1373"/>
      <c r="AF304" s="1373"/>
      <c r="AG304" s="1373"/>
      <c r="AH304" s="1373"/>
      <c r="AI304" s="1373"/>
      <c r="AJ304" s="1373"/>
      <c r="AK304" s="1373"/>
    </row>
    <row r="305" spans="2:37" ht="13" customHeight="1">
      <c r="B305" s="3" t="s">
        <v>472</v>
      </c>
      <c r="C305" s="3"/>
      <c r="D305" s="3"/>
      <c r="E305" s="3"/>
      <c r="F305" s="3"/>
      <c r="H305" s="1373" t="s">
        <v>2653</v>
      </c>
      <c r="I305" s="1373"/>
      <c r="J305" s="1373"/>
      <c r="K305" s="1373"/>
      <c r="L305" s="1373"/>
      <c r="M305" s="1373"/>
      <c r="N305" s="1373"/>
      <c r="O305" s="1373"/>
      <c r="P305" s="1373"/>
      <c r="Q305" s="1373"/>
      <c r="R305" s="1373"/>
      <c r="T305" s="3" t="s">
        <v>75</v>
      </c>
      <c r="V305" s="3"/>
      <c r="W305" s="3"/>
      <c r="X305" s="3"/>
      <c r="Y305" s="3"/>
      <c r="AA305" s="1373" t="s">
        <v>2665</v>
      </c>
      <c r="AB305" s="1373"/>
      <c r="AC305" s="1373"/>
      <c r="AD305" s="1373"/>
      <c r="AE305" s="1373"/>
      <c r="AF305" s="1373"/>
      <c r="AG305" s="1373"/>
      <c r="AH305" s="1373"/>
      <c r="AI305" s="1373"/>
      <c r="AJ305" s="1373"/>
      <c r="AK305" s="1373"/>
    </row>
    <row r="306" spans="2:37" ht="13" customHeight="1">
      <c r="B306" s="3" t="s">
        <v>87</v>
      </c>
      <c r="C306" s="3"/>
      <c r="D306" s="3"/>
      <c r="E306" s="3"/>
      <c r="F306" s="3"/>
      <c r="H306" s="1373" t="s">
        <v>2654</v>
      </c>
      <c r="I306" s="1373"/>
      <c r="J306" s="1373"/>
      <c r="K306" s="1373"/>
      <c r="L306" s="1373"/>
      <c r="M306" s="1373"/>
      <c r="N306" s="1373"/>
      <c r="O306" s="1373"/>
      <c r="P306" s="1373"/>
      <c r="Q306" s="1373"/>
      <c r="R306" s="1373"/>
      <c r="T306" s="3" t="s">
        <v>87</v>
      </c>
      <c r="V306" s="3"/>
      <c r="W306" s="3"/>
      <c r="X306" s="3"/>
      <c r="Y306" s="3"/>
      <c r="AA306" s="1373" t="s">
        <v>2666</v>
      </c>
      <c r="AB306" s="1373"/>
      <c r="AC306" s="1373"/>
      <c r="AD306" s="1373"/>
      <c r="AE306" s="1373"/>
      <c r="AF306" s="1373"/>
      <c r="AG306" s="1373"/>
      <c r="AH306" s="1373"/>
      <c r="AI306" s="1373"/>
      <c r="AJ306" s="1373"/>
      <c r="AK306" s="1373"/>
    </row>
    <row r="307" spans="2:37" ht="13" customHeight="1">
      <c r="B307" s="3" t="s">
        <v>88</v>
      </c>
      <c r="C307" s="3"/>
      <c r="D307" s="3"/>
      <c r="E307" s="3"/>
      <c r="F307" s="3"/>
      <c r="G307" s="3"/>
      <c r="H307" s="1546" t="s">
        <v>2655</v>
      </c>
      <c r="I307" s="1546"/>
      <c r="J307" s="1546"/>
      <c r="K307" s="1546"/>
      <c r="L307" s="1546"/>
      <c r="M307" s="1546"/>
      <c r="N307" s="4" t="s">
        <v>206</v>
      </c>
      <c r="O307" s="4"/>
      <c r="P307" s="1527"/>
      <c r="Q307" s="1527"/>
      <c r="R307" s="1527"/>
      <c r="S307" s="3"/>
      <c r="T307" s="3" t="s">
        <v>88</v>
      </c>
      <c r="V307" s="3"/>
      <c r="W307" s="3"/>
      <c r="X307" s="3"/>
      <c r="Y307" s="3"/>
      <c r="AA307" s="1546" t="s">
        <v>2667</v>
      </c>
      <c r="AB307" s="1546"/>
      <c r="AC307" s="1546"/>
      <c r="AD307" s="1546"/>
      <c r="AE307" s="1546"/>
      <c r="AF307" s="1546"/>
      <c r="AG307" s="4" t="s">
        <v>206</v>
      </c>
      <c r="AH307" s="4"/>
      <c r="AI307" s="1527"/>
      <c r="AJ307" s="1527"/>
      <c r="AK307" s="1527"/>
    </row>
    <row r="308" spans="2:37" ht="13"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3" customHeight="1">
      <c r="B309" s="3" t="s">
        <v>76</v>
      </c>
      <c r="C309" s="3"/>
      <c r="D309" s="3"/>
      <c r="E309" s="3"/>
      <c r="F309" s="3"/>
      <c r="G309" s="3"/>
      <c r="H309" s="1373" t="s">
        <v>2656</v>
      </c>
      <c r="I309" s="1373"/>
      <c r="J309" s="1373"/>
      <c r="K309" s="1373"/>
      <c r="L309" s="1373"/>
      <c r="M309" s="1373"/>
      <c r="N309" s="1409"/>
      <c r="O309" s="1409"/>
      <c r="P309" s="1409"/>
      <c r="Q309" s="1409"/>
      <c r="R309" s="1409"/>
      <c r="S309" s="3"/>
      <c r="T309" s="3" t="s">
        <v>76</v>
      </c>
      <c r="V309" s="3"/>
      <c r="W309" s="3"/>
      <c r="X309" s="3"/>
      <c r="Y309" s="3"/>
      <c r="AA309" s="1373" t="s">
        <v>2668</v>
      </c>
      <c r="AB309" s="1373"/>
      <c r="AC309" s="1373"/>
      <c r="AD309" s="1373"/>
      <c r="AE309" s="1373"/>
      <c r="AF309" s="1373"/>
      <c r="AG309" s="1409"/>
      <c r="AH309" s="1409"/>
      <c r="AI309" s="1409"/>
      <c r="AJ309" s="1409"/>
      <c r="AK309" s="1409"/>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09" t="s">
        <v>2669</v>
      </c>
      <c r="I311" s="1409"/>
      <c r="J311" s="1409"/>
      <c r="K311" s="1409"/>
      <c r="L311" s="1409"/>
      <c r="M311" s="1409"/>
      <c r="N311" s="1409"/>
      <c r="O311" s="1409"/>
      <c r="P311" s="1409"/>
      <c r="Q311" s="1409"/>
      <c r="R311" s="1409"/>
      <c r="S311" s="3"/>
      <c r="T311" s="3" t="s">
        <v>365</v>
      </c>
      <c r="V311" s="3"/>
      <c r="W311" s="3"/>
      <c r="X311" s="3"/>
      <c r="Y311" s="3"/>
      <c r="AA311" s="1542" t="s">
        <v>2746</v>
      </c>
      <c r="AB311" s="1542"/>
      <c r="AC311" s="1542"/>
      <c r="AD311" s="1542"/>
      <c r="AE311" s="1542"/>
      <c r="AF311" s="1542"/>
      <c r="AG311" s="1542"/>
      <c r="AH311" s="1542"/>
      <c r="AI311" s="1542"/>
      <c r="AJ311" s="1542"/>
      <c r="AK311" s="1542"/>
    </row>
    <row r="312" spans="2:37" ht="13" customHeight="1">
      <c r="B312" s="3" t="s">
        <v>471</v>
      </c>
      <c r="C312" s="3"/>
      <c r="D312" s="3"/>
      <c r="E312" s="3"/>
      <c r="F312" s="3"/>
      <c r="H312" s="1373" t="s">
        <v>2670</v>
      </c>
      <c r="I312" s="1373"/>
      <c r="J312" s="1373"/>
      <c r="K312" s="1373"/>
      <c r="L312" s="1373"/>
      <c r="M312" s="1373"/>
      <c r="N312" s="1373"/>
      <c r="O312" s="1373"/>
      <c r="P312" s="1373"/>
      <c r="Q312" s="1373"/>
      <c r="R312" s="1373"/>
      <c r="S312" s="3"/>
      <c r="T312" s="3" t="s">
        <v>471</v>
      </c>
      <c r="V312" s="3"/>
      <c r="W312" s="3"/>
      <c r="X312" s="3"/>
      <c r="Y312" s="3"/>
      <c r="AA312" s="1373" t="s">
        <v>2747</v>
      </c>
      <c r="AB312" s="1373"/>
      <c r="AC312" s="1373"/>
      <c r="AD312" s="1373"/>
      <c r="AE312" s="1373"/>
      <c r="AF312" s="1373"/>
      <c r="AG312" s="1373"/>
      <c r="AH312" s="1373"/>
      <c r="AI312" s="1373"/>
      <c r="AJ312" s="1373"/>
      <c r="AK312" s="1373"/>
    </row>
    <row r="313" spans="2:37" ht="13" customHeight="1">
      <c r="B313" s="3" t="s">
        <v>472</v>
      </c>
      <c r="C313" s="3"/>
      <c r="D313" s="3"/>
      <c r="E313" s="3"/>
      <c r="F313" s="3"/>
      <c r="H313" s="1373" t="s">
        <v>2671</v>
      </c>
      <c r="I313" s="1373"/>
      <c r="J313" s="1373"/>
      <c r="K313" s="1373"/>
      <c r="L313" s="1373"/>
      <c r="M313" s="1373"/>
      <c r="N313" s="1373"/>
      <c r="O313" s="1373"/>
      <c r="P313" s="1373"/>
      <c r="Q313" s="1373"/>
      <c r="R313" s="1373"/>
      <c r="S313" s="3"/>
      <c r="T313" s="3" t="s">
        <v>75</v>
      </c>
      <c r="V313" s="3"/>
      <c r="W313" s="3"/>
      <c r="X313" s="3"/>
      <c r="Y313" s="3"/>
      <c r="AA313" s="1373" t="s">
        <v>2748</v>
      </c>
      <c r="AB313" s="1373"/>
      <c r="AC313" s="1373"/>
      <c r="AD313" s="1373"/>
      <c r="AE313" s="1373"/>
      <c r="AF313" s="1373"/>
      <c r="AG313" s="1373"/>
      <c r="AH313" s="1373"/>
      <c r="AI313" s="1373"/>
      <c r="AJ313" s="1373"/>
      <c r="AK313" s="1373"/>
    </row>
    <row r="314" spans="2:37" ht="13" customHeight="1">
      <c r="B314" s="3" t="s">
        <v>87</v>
      </c>
      <c r="C314" s="3"/>
      <c r="D314" s="3"/>
      <c r="E314" s="3"/>
      <c r="F314" s="3"/>
      <c r="H314" s="1373" t="s">
        <v>2672</v>
      </c>
      <c r="I314" s="1373"/>
      <c r="J314" s="1373"/>
      <c r="K314" s="1373"/>
      <c r="L314" s="1373"/>
      <c r="M314" s="1373"/>
      <c r="N314" s="1373"/>
      <c r="O314" s="1373"/>
      <c r="P314" s="1373"/>
      <c r="Q314" s="1373"/>
      <c r="R314" s="1373"/>
      <c r="S314" s="3"/>
      <c r="T314" s="3" t="s">
        <v>87</v>
      </c>
      <c r="V314" s="3"/>
      <c r="W314" s="3"/>
      <c r="X314" s="3"/>
      <c r="Y314" s="3"/>
      <c r="AA314" s="1373" t="s">
        <v>2749</v>
      </c>
      <c r="AB314" s="1373"/>
      <c r="AC314" s="1373"/>
      <c r="AD314" s="1373"/>
      <c r="AE314" s="1373"/>
      <c r="AF314" s="1373"/>
      <c r="AG314" s="1373"/>
      <c r="AH314" s="1373"/>
      <c r="AI314" s="1373"/>
      <c r="AJ314" s="1373"/>
      <c r="AK314" s="1373"/>
    </row>
    <row r="315" spans="2:37" ht="13" customHeight="1">
      <c r="B315" s="3" t="s">
        <v>88</v>
      </c>
      <c r="C315" s="3"/>
      <c r="D315" s="3"/>
      <c r="E315" s="3"/>
      <c r="F315" s="3"/>
      <c r="G315" s="3"/>
      <c r="H315" s="1546" t="s">
        <v>2673</v>
      </c>
      <c r="I315" s="1546"/>
      <c r="J315" s="1546"/>
      <c r="K315" s="1546"/>
      <c r="L315" s="1546"/>
      <c r="M315" s="1546"/>
      <c r="N315" s="4" t="s">
        <v>206</v>
      </c>
      <c r="O315" s="4"/>
      <c r="P315" s="1527"/>
      <c r="Q315" s="1527"/>
      <c r="R315" s="1527"/>
      <c r="S315" s="3"/>
      <c r="T315" s="3" t="s">
        <v>88</v>
      </c>
      <c r="V315" s="3"/>
      <c r="W315" s="3"/>
      <c r="X315" s="3"/>
      <c r="Y315" s="3"/>
      <c r="AA315" s="1571" t="s">
        <v>2750</v>
      </c>
      <c r="AB315" s="1571"/>
      <c r="AC315" s="1571"/>
      <c r="AD315" s="1571"/>
      <c r="AE315" s="1571"/>
      <c r="AF315" s="1571"/>
      <c r="AG315" s="4" t="s">
        <v>206</v>
      </c>
      <c r="AH315" s="4"/>
      <c r="AI315" s="1527"/>
      <c r="AJ315" s="1527"/>
      <c r="AK315" s="1527"/>
    </row>
    <row r="316" spans="2:37" ht="13" customHeight="1">
      <c r="B316" s="3" t="s">
        <v>89</v>
      </c>
      <c r="C316" s="3"/>
      <c r="D316" s="3"/>
      <c r="E316" s="3"/>
      <c r="F316" s="3"/>
      <c r="G316" s="3"/>
      <c r="H316" s="1489"/>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3" customHeight="1">
      <c r="B317" s="3" t="s">
        <v>76</v>
      </c>
      <c r="C317" s="3"/>
      <c r="D317" s="3"/>
      <c r="E317" s="3"/>
      <c r="F317" s="3"/>
      <c r="G317" s="3"/>
      <c r="H317" s="1373" t="s">
        <v>2674</v>
      </c>
      <c r="I317" s="1373"/>
      <c r="J317" s="1373"/>
      <c r="K317" s="1373"/>
      <c r="L317" s="1373"/>
      <c r="M317" s="1373"/>
      <c r="N317" s="1409"/>
      <c r="O317" s="1409"/>
      <c r="P317" s="1409"/>
      <c r="Q317" s="1409"/>
      <c r="R317" s="1409"/>
      <c r="S317" s="3"/>
      <c r="T317" s="3" t="s">
        <v>76</v>
      </c>
      <c r="V317" s="3"/>
      <c r="W317" s="3"/>
      <c r="X317" s="3"/>
      <c r="Y317" s="3"/>
      <c r="AA317" s="1373" t="s">
        <v>2751</v>
      </c>
      <c r="AB317" s="1373"/>
      <c r="AC317" s="1373"/>
      <c r="AD317" s="1373"/>
      <c r="AE317" s="1373"/>
      <c r="AF317" s="1373"/>
      <c r="AG317" s="1409"/>
      <c r="AH317" s="1409"/>
      <c r="AI317" s="1409"/>
      <c r="AJ317" s="1409"/>
      <c r="AK317" s="1409"/>
    </row>
    <row r="318" spans="2:37" ht="13" customHeight="1"/>
    <row r="319" spans="2:37" ht="13" customHeight="1">
      <c r="B319" s="4" t="s">
        <v>908</v>
      </c>
      <c r="C319" s="3"/>
      <c r="D319" s="3"/>
      <c r="E319" s="3"/>
      <c r="F319" s="3"/>
      <c r="H319" s="1409"/>
      <c r="I319" s="1409"/>
      <c r="J319" s="1409"/>
      <c r="K319" s="1409"/>
      <c r="L319" s="1409"/>
      <c r="M319" s="1409"/>
      <c r="N319" s="1409"/>
      <c r="O319" s="1409"/>
      <c r="P319" s="1409"/>
      <c r="Q319" s="1409"/>
      <c r="R319" s="1409"/>
      <c r="T319" s="3" t="s">
        <v>366</v>
      </c>
      <c r="V319" s="3"/>
      <c r="W319" s="3"/>
      <c r="X319" s="3"/>
      <c r="Y319" s="3"/>
      <c r="AA319" s="1409" t="s">
        <v>2669</v>
      </c>
      <c r="AB319" s="1409"/>
      <c r="AC319" s="1409"/>
      <c r="AD319" s="1409"/>
      <c r="AE319" s="1409"/>
      <c r="AF319" s="1409"/>
      <c r="AG319" s="1409"/>
      <c r="AH319" s="1409"/>
      <c r="AI319" s="1409"/>
      <c r="AJ319" s="1409"/>
      <c r="AK319" s="1409"/>
    </row>
    <row r="320" spans="2:37" ht="13" customHeight="1">
      <c r="B320" s="3" t="s">
        <v>471</v>
      </c>
      <c r="C320" s="3"/>
      <c r="D320" s="3"/>
      <c r="E320" s="3"/>
      <c r="F320" s="3"/>
      <c r="H320" s="1373"/>
      <c r="I320" s="1373"/>
      <c r="J320" s="1373"/>
      <c r="K320" s="1373"/>
      <c r="L320" s="1373"/>
      <c r="M320" s="1373"/>
      <c r="N320" s="1373"/>
      <c r="O320" s="1373"/>
      <c r="P320" s="1373"/>
      <c r="Q320" s="1373"/>
      <c r="R320" s="1373"/>
      <c r="T320" s="3" t="s">
        <v>471</v>
      </c>
      <c r="V320" s="3"/>
      <c r="W320" s="3"/>
      <c r="X320" s="3"/>
      <c r="Y320" s="3"/>
      <c r="AA320" s="1373" t="s">
        <v>2670</v>
      </c>
      <c r="AB320" s="1373"/>
      <c r="AC320" s="1373"/>
      <c r="AD320" s="1373"/>
      <c r="AE320" s="1373"/>
      <c r="AF320" s="1373"/>
      <c r="AG320" s="1373"/>
      <c r="AH320" s="1373"/>
      <c r="AI320" s="1373"/>
      <c r="AJ320" s="1373"/>
      <c r="AK320" s="1373"/>
    </row>
    <row r="321" spans="2:37" ht="13" customHeight="1">
      <c r="B321" s="3" t="s">
        <v>472</v>
      </c>
      <c r="C321" s="3"/>
      <c r="D321" s="3"/>
      <c r="E321" s="3"/>
      <c r="F321" s="3"/>
      <c r="H321" s="1373"/>
      <c r="I321" s="1373"/>
      <c r="J321" s="1373"/>
      <c r="K321" s="1373"/>
      <c r="L321" s="1373"/>
      <c r="M321" s="1373"/>
      <c r="N321" s="1373"/>
      <c r="O321" s="1373"/>
      <c r="P321" s="1373"/>
      <c r="Q321" s="1373"/>
      <c r="R321" s="1373"/>
      <c r="T321" s="3" t="s">
        <v>75</v>
      </c>
      <c r="V321" s="3"/>
      <c r="W321" s="3"/>
      <c r="X321" s="3"/>
      <c r="Y321" s="3"/>
      <c r="AA321" s="1373" t="s">
        <v>2671</v>
      </c>
      <c r="AB321" s="1373"/>
      <c r="AC321" s="1373"/>
      <c r="AD321" s="1373"/>
      <c r="AE321" s="1373"/>
      <c r="AF321" s="1373"/>
      <c r="AG321" s="1373"/>
      <c r="AH321" s="1373"/>
      <c r="AI321" s="1373"/>
      <c r="AJ321" s="1373"/>
      <c r="AK321" s="1373"/>
    </row>
    <row r="322" spans="2:37" ht="13" customHeight="1">
      <c r="B322" s="3" t="s">
        <v>87</v>
      </c>
      <c r="C322" s="3"/>
      <c r="D322" s="3"/>
      <c r="E322" s="3"/>
      <c r="F322" s="3"/>
      <c r="H322" s="1373"/>
      <c r="I322" s="1373"/>
      <c r="J322" s="1373"/>
      <c r="K322" s="1373"/>
      <c r="L322" s="1373"/>
      <c r="M322" s="1373"/>
      <c r="N322" s="1373"/>
      <c r="O322" s="1373"/>
      <c r="P322" s="1373"/>
      <c r="Q322" s="1373"/>
      <c r="R322" s="1373"/>
      <c r="T322" s="3" t="s">
        <v>87</v>
      </c>
      <c r="V322" s="3"/>
      <c r="W322" s="3"/>
      <c r="X322" s="3"/>
      <c r="Y322" s="3"/>
      <c r="AA322" s="1373" t="s">
        <v>2675</v>
      </c>
      <c r="AB322" s="1373"/>
      <c r="AC322" s="1373"/>
      <c r="AD322" s="1373"/>
      <c r="AE322" s="1373"/>
      <c r="AF322" s="1373"/>
      <c r="AG322" s="1373"/>
      <c r="AH322" s="1373"/>
      <c r="AI322" s="1373"/>
      <c r="AJ322" s="1373"/>
      <c r="AK322" s="1373"/>
    </row>
    <row r="323" spans="2:37" ht="13" customHeight="1">
      <c r="B323" s="3" t="s">
        <v>88</v>
      </c>
      <c r="C323" s="3"/>
      <c r="D323" s="3"/>
      <c r="E323" s="3"/>
      <c r="F323" s="3"/>
      <c r="G323" s="3"/>
      <c r="H323" s="1546"/>
      <c r="I323" s="1546"/>
      <c r="J323" s="1546"/>
      <c r="K323" s="1546"/>
      <c r="L323" s="1546"/>
      <c r="M323" s="1546"/>
      <c r="N323" s="4" t="s">
        <v>206</v>
      </c>
      <c r="O323" s="4"/>
      <c r="P323" s="1527"/>
      <c r="Q323" s="1527"/>
      <c r="R323" s="1527"/>
      <c r="S323" s="3"/>
      <c r="T323" s="3" t="s">
        <v>88</v>
      </c>
      <c r="V323" s="3"/>
      <c r="W323" s="3"/>
      <c r="X323" s="3"/>
      <c r="Y323" s="3"/>
      <c r="AA323" s="1546" t="s">
        <v>2676</v>
      </c>
      <c r="AB323" s="1546"/>
      <c r="AC323" s="1546"/>
      <c r="AD323" s="1546"/>
      <c r="AE323" s="1546"/>
      <c r="AF323" s="1546"/>
      <c r="AG323" s="4" t="s">
        <v>206</v>
      </c>
      <c r="AH323" s="4"/>
      <c r="AI323" s="1527"/>
      <c r="AJ323" s="1527"/>
      <c r="AK323" s="1527"/>
    </row>
    <row r="324" spans="2:37" ht="13"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3" customHeight="1">
      <c r="B325" s="3" t="s">
        <v>76</v>
      </c>
      <c r="C325" s="3"/>
      <c r="D325" s="3"/>
      <c r="E325" s="3"/>
      <c r="F325" s="3"/>
      <c r="G325" s="3"/>
      <c r="H325" s="1373"/>
      <c r="I325" s="1373"/>
      <c r="J325" s="1373"/>
      <c r="K325" s="1373"/>
      <c r="L325" s="1373"/>
      <c r="M325" s="1373"/>
      <c r="N325" s="1409"/>
      <c r="O325" s="1409"/>
      <c r="P325" s="1409"/>
      <c r="Q325" s="1409"/>
      <c r="R325" s="1409"/>
      <c r="S325" s="3"/>
      <c r="T325" s="3" t="s">
        <v>76</v>
      </c>
      <c r="V325" s="3"/>
      <c r="W325" s="3"/>
      <c r="X325" s="3"/>
      <c r="Y325" s="3"/>
      <c r="AA325" s="1373" t="s">
        <v>2677</v>
      </c>
      <c r="AB325" s="1373"/>
      <c r="AC325" s="1373"/>
      <c r="AD325" s="1373"/>
      <c r="AE325" s="1373"/>
      <c r="AF325" s="1373"/>
      <c r="AG325" s="1409"/>
      <c r="AH325" s="1409"/>
      <c r="AI325" s="1409"/>
      <c r="AJ325" s="1409"/>
      <c r="AK325" s="1409"/>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9" t="s">
        <v>2669</v>
      </c>
      <c r="I327" s="1409"/>
      <c r="J327" s="1409"/>
      <c r="K327" s="1409"/>
      <c r="L327" s="1409"/>
      <c r="M327" s="1409"/>
      <c r="N327" s="1409"/>
      <c r="O327" s="1409"/>
      <c r="P327" s="1409"/>
      <c r="Q327" s="1409"/>
      <c r="R327" s="1409"/>
      <c r="T327" s="3" t="s">
        <v>368</v>
      </c>
      <c r="V327" s="3"/>
      <c r="W327" s="3"/>
      <c r="X327" s="3"/>
      <c r="Y327" s="3"/>
      <c r="AA327" s="1409"/>
      <c r="AB327" s="1409"/>
      <c r="AC327" s="1409"/>
      <c r="AD327" s="1409"/>
      <c r="AE327" s="1409"/>
      <c r="AF327" s="1409"/>
      <c r="AG327" s="1409"/>
      <c r="AH327" s="1409"/>
      <c r="AI327" s="1409"/>
      <c r="AJ327" s="1409"/>
      <c r="AK327" s="1409"/>
    </row>
    <row r="328" spans="2:37" ht="13" customHeight="1">
      <c r="B328" s="3" t="s">
        <v>471</v>
      </c>
      <c r="C328" s="3"/>
      <c r="D328" s="3"/>
      <c r="E328" s="3"/>
      <c r="F328" s="3"/>
      <c r="H328" s="1373" t="s">
        <v>2670</v>
      </c>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3" customHeight="1">
      <c r="B329" s="3" t="s">
        <v>472</v>
      </c>
      <c r="C329" s="3"/>
      <c r="D329" s="3"/>
      <c r="E329" s="3"/>
      <c r="F329" s="3"/>
      <c r="H329" s="1373" t="s">
        <v>2671</v>
      </c>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3" customHeight="1">
      <c r="B330" s="3" t="s">
        <v>87</v>
      </c>
      <c r="C330" s="3"/>
      <c r="D330" s="3"/>
      <c r="E330" s="3"/>
      <c r="F330" s="3"/>
      <c r="H330" s="1373" t="s">
        <v>2675</v>
      </c>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3" customHeight="1">
      <c r="B331" s="3" t="s">
        <v>88</v>
      </c>
      <c r="C331" s="3"/>
      <c r="D331" s="3"/>
      <c r="E331" s="3"/>
      <c r="F331" s="3"/>
      <c r="G331" s="3"/>
      <c r="H331" s="1546" t="s">
        <v>2676</v>
      </c>
      <c r="I331" s="1546"/>
      <c r="J331" s="1546"/>
      <c r="K331" s="1546"/>
      <c r="L331" s="1546"/>
      <c r="M331" s="1546"/>
      <c r="N331" s="4" t="s">
        <v>206</v>
      </c>
      <c r="O331" s="4"/>
      <c r="P331" s="1527"/>
      <c r="Q331" s="1527"/>
      <c r="R331" s="1527"/>
      <c r="S331" s="3"/>
      <c r="T331" s="3" t="s">
        <v>88</v>
      </c>
      <c r="V331" s="3"/>
      <c r="W331" s="3"/>
      <c r="X331" s="3"/>
      <c r="Y331" s="3"/>
      <c r="AA331" s="1546"/>
      <c r="AB331" s="1546"/>
      <c r="AC331" s="1546"/>
      <c r="AD331" s="1546"/>
      <c r="AE331" s="1546"/>
      <c r="AF331" s="1546"/>
      <c r="AG331" s="4" t="s">
        <v>206</v>
      </c>
      <c r="AH331" s="4"/>
      <c r="AI331" s="1527"/>
      <c r="AJ331" s="1527"/>
      <c r="AK331" s="1527"/>
    </row>
    <row r="332" spans="2:37" ht="13"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3" customHeight="1">
      <c r="B333" s="3" t="s">
        <v>76</v>
      </c>
      <c r="C333" s="3"/>
      <c r="D333" s="3"/>
      <c r="E333" s="3"/>
      <c r="F333" s="3"/>
      <c r="G333" s="3"/>
      <c r="H333" s="1373" t="s">
        <v>2677</v>
      </c>
      <c r="I333" s="1373"/>
      <c r="J333" s="1373"/>
      <c r="K333" s="1373"/>
      <c r="L333" s="1373"/>
      <c r="M333" s="1373"/>
      <c r="N333" s="1409"/>
      <c r="O333" s="1409"/>
      <c r="P333" s="1409"/>
      <c r="Q333" s="1409"/>
      <c r="R333" s="1409"/>
      <c r="S333" s="3"/>
      <c r="T333" s="3" t="s">
        <v>76</v>
      </c>
      <c r="V333" s="3"/>
      <c r="W333" s="3"/>
      <c r="X333" s="3"/>
      <c r="Y333" s="3"/>
      <c r="AA333" s="1373"/>
      <c r="AB333" s="1373"/>
      <c r="AC333" s="1373"/>
      <c r="AD333" s="1373"/>
      <c r="AE333" s="1373"/>
      <c r="AF333" s="1373"/>
      <c r="AG333" s="1409"/>
      <c r="AH333" s="1409"/>
      <c r="AI333" s="1409"/>
      <c r="AJ333" s="1409"/>
      <c r="AK333" s="1409"/>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9" t="s">
        <v>2614</v>
      </c>
      <c r="I335" s="1409"/>
      <c r="J335" s="1409"/>
      <c r="K335" s="1409"/>
      <c r="L335" s="1409"/>
      <c r="M335" s="1409"/>
      <c r="N335" s="1409"/>
      <c r="O335" s="1409"/>
      <c r="P335" s="1409"/>
      <c r="Q335" s="1409"/>
      <c r="R335" s="1409"/>
      <c r="T335" s="204" t="s">
        <v>886</v>
      </c>
      <c r="V335" s="3"/>
      <c r="W335" s="3"/>
      <c r="X335" s="3"/>
      <c r="Y335" s="3"/>
      <c r="AA335" s="1409" t="s">
        <v>2745</v>
      </c>
      <c r="AB335" s="1409"/>
      <c r="AC335" s="1409"/>
      <c r="AD335" s="1409"/>
      <c r="AE335" s="1409"/>
      <c r="AF335" s="1409"/>
      <c r="AG335" s="1409"/>
      <c r="AH335" s="1409"/>
      <c r="AI335" s="1409"/>
      <c r="AJ335" s="1409"/>
      <c r="AK335" s="1409"/>
    </row>
    <row r="336" spans="2:37" ht="13" customHeight="1">
      <c r="B336" s="3" t="s">
        <v>471</v>
      </c>
      <c r="C336" s="3"/>
      <c r="D336" s="3"/>
      <c r="E336" s="3"/>
      <c r="F336" s="3"/>
      <c r="H336" s="1373" t="s">
        <v>2678</v>
      </c>
      <c r="I336" s="1373"/>
      <c r="J336" s="1373"/>
      <c r="K336" s="1373"/>
      <c r="L336" s="1373"/>
      <c r="M336" s="1373"/>
      <c r="N336" s="1373"/>
      <c r="O336" s="1373"/>
      <c r="P336" s="1373"/>
      <c r="Q336" s="1373"/>
      <c r="R336" s="1373"/>
      <c r="T336" s="3" t="s">
        <v>471</v>
      </c>
      <c r="V336" s="3"/>
      <c r="W336" s="3"/>
      <c r="X336" s="3"/>
      <c r="Y336" s="3"/>
      <c r="AA336" s="1373" t="s">
        <v>2728</v>
      </c>
      <c r="AB336" s="1373"/>
      <c r="AC336" s="1373"/>
      <c r="AD336" s="1373"/>
      <c r="AE336" s="1373"/>
      <c r="AF336" s="1373"/>
      <c r="AG336" s="1373"/>
      <c r="AH336" s="1373"/>
      <c r="AI336" s="1373"/>
      <c r="AJ336" s="1373"/>
      <c r="AK336" s="1373"/>
    </row>
    <row r="337" spans="1:66" ht="13" customHeight="1">
      <c r="B337" s="3" t="s">
        <v>75</v>
      </c>
      <c r="C337" s="3"/>
      <c r="D337" s="3"/>
      <c r="E337" s="3"/>
      <c r="F337" s="3"/>
      <c r="H337" s="1373" t="s">
        <v>2679</v>
      </c>
      <c r="I337" s="1373"/>
      <c r="J337" s="1373"/>
      <c r="K337" s="1373"/>
      <c r="L337" s="1373"/>
      <c r="M337" s="1373"/>
      <c r="N337" s="1373"/>
      <c r="O337" s="1373"/>
      <c r="P337" s="1373"/>
      <c r="Q337" s="1373"/>
      <c r="R337" s="1373"/>
      <c r="T337" s="3" t="s">
        <v>75</v>
      </c>
      <c r="V337" s="3"/>
      <c r="W337" s="3"/>
      <c r="X337" s="3"/>
      <c r="Y337" s="3"/>
      <c r="AA337" s="1373" t="s">
        <v>2729</v>
      </c>
      <c r="AB337" s="1373"/>
      <c r="AC337" s="1373"/>
      <c r="AD337" s="1373"/>
      <c r="AE337" s="1373"/>
      <c r="AF337" s="1373"/>
      <c r="AG337" s="1373"/>
      <c r="AH337" s="1373"/>
      <c r="AI337" s="1373"/>
      <c r="AJ337" s="1373"/>
      <c r="AK337" s="1373"/>
    </row>
    <row r="338" spans="1:66" ht="13" customHeight="1">
      <c r="B338" s="3" t="s">
        <v>87</v>
      </c>
      <c r="C338" s="3"/>
      <c r="D338" s="3"/>
      <c r="E338" s="3"/>
      <c r="F338" s="3"/>
      <c r="G338" s="3"/>
      <c r="H338" s="1373" t="s">
        <v>2680</v>
      </c>
      <c r="I338" s="1373"/>
      <c r="J338" s="1373"/>
      <c r="K338" s="1373"/>
      <c r="L338" s="1373"/>
      <c r="M338" s="1373"/>
      <c r="N338" s="1373"/>
      <c r="O338" s="1373"/>
      <c r="P338" s="1373"/>
      <c r="Q338" s="1373"/>
      <c r="R338" s="1373"/>
      <c r="T338" s="3" t="s">
        <v>87</v>
      </c>
      <c r="V338" s="3"/>
      <c r="W338" s="3"/>
      <c r="X338" s="3"/>
      <c r="Y338" s="3"/>
      <c r="AA338" s="1373" t="s">
        <v>2730</v>
      </c>
      <c r="AB338" s="1373"/>
      <c r="AC338" s="1373"/>
      <c r="AD338" s="1373"/>
      <c r="AE338" s="1373"/>
      <c r="AF338" s="1373"/>
      <c r="AG338" s="1373"/>
      <c r="AH338" s="1373"/>
      <c r="AI338" s="1373"/>
      <c r="AJ338" s="1373"/>
      <c r="AK338" s="1373"/>
    </row>
    <row r="339" spans="1:66" ht="13" customHeight="1">
      <c r="B339" s="3" t="s">
        <v>88</v>
      </c>
      <c r="C339" s="3"/>
      <c r="D339" s="3"/>
      <c r="E339" s="3"/>
      <c r="F339" s="3"/>
      <c r="G339" s="3"/>
      <c r="H339" s="1546" t="s">
        <v>2681</v>
      </c>
      <c r="I339" s="1546"/>
      <c r="J339" s="1546"/>
      <c r="K339" s="1546"/>
      <c r="L339" s="1546"/>
      <c r="M339" s="1546"/>
      <c r="N339" s="4" t="s">
        <v>206</v>
      </c>
      <c r="O339" s="4"/>
      <c r="P339" s="1527"/>
      <c r="Q339" s="1527"/>
      <c r="R339" s="1527"/>
      <c r="S339" s="3"/>
      <c r="T339" s="3" t="s">
        <v>88</v>
      </c>
      <c r="V339" s="3"/>
      <c r="W339" s="3"/>
      <c r="X339" s="3"/>
      <c r="Y339" s="3"/>
      <c r="AA339" s="1546"/>
      <c r="AB339" s="1546"/>
      <c r="AC339" s="1546"/>
      <c r="AD339" s="1546"/>
      <c r="AE339" s="1546"/>
      <c r="AF339" s="1546"/>
      <c r="AG339" s="4" t="s">
        <v>206</v>
      </c>
      <c r="AH339" s="4"/>
      <c r="AI339" s="1527"/>
      <c r="AJ339" s="1527"/>
      <c r="AK339" s="1527"/>
    </row>
    <row r="340" spans="1:66" ht="13" customHeight="1">
      <c r="B340" s="3" t="s">
        <v>89</v>
      </c>
      <c r="C340" s="3"/>
      <c r="D340" s="3"/>
      <c r="E340" s="3"/>
      <c r="F340" s="3"/>
      <c r="G340" s="3"/>
      <c r="H340" s="1489"/>
      <c r="I340" s="1489"/>
      <c r="J340" s="1489"/>
      <c r="K340" s="1489"/>
      <c r="L340" s="1489"/>
      <c r="M340" s="1489"/>
      <c r="N340" s="4"/>
      <c r="O340" s="4"/>
      <c r="P340" s="35"/>
      <c r="Q340" s="35"/>
      <c r="R340" s="35"/>
      <c r="S340" s="3"/>
      <c r="T340" s="3" t="s">
        <v>89</v>
      </c>
      <c r="V340" s="3"/>
      <c r="W340" s="3"/>
      <c r="X340" s="3"/>
      <c r="Y340" s="3"/>
      <c r="AA340" s="1532" t="s">
        <v>2732</v>
      </c>
      <c r="AB340" s="1489"/>
      <c r="AC340" s="1489"/>
      <c r="AD340" s="1489"/>
      <c r="AE340" s="1489"/>
      <c r="AF340" s="1489"/>
      <c r="AG340" s="4"/>
      <c r="AH340" s="4"/>
      <c r="AI340" s="35"/>
      <c r="AJ340" s="35"/>
      <c r="AK340" s="35"/>
    </row>
    <row r="341" spans="1:66" ht="13" customHeight="1">
      <c r="B341" s="3" t="s">
        <v>76</v>
      </c>
      <c r="C341" s="3"/>
      <c r="D341" s="3"/>
      <c r="E341" s="3"/>
      <c r="F341" s="3"/>
      <c r="G341" s="3"/>
      <c r="H341" s="1373" t="s">
        <v>2682</v>
      </c>
      <c r="I341" s="1373"/>
      <c r="J341" s="1373"/>
      <c r="K341" s="1373"/>
      <c r="L341" s="1373"/>
      <c r="M341" s="1373"/>
      <c r="N341" s="1409"/>
      <c r="O341" s="1409"/>
      <c r="P341" s="1409"/>
      <c r="Q341" s="1409"/>
      <c r="R341" s="1409"/>
      <c r="S341" s="3"/>
      <c r="T341" s="3" t="s">
        <v>76</v>
      </c>
      <c r="V341" s="3"/>
      <c r="W341" s="3"/>
      <c r="X341" s="3"/>
      <c r="Y341" s="3"/>
      <c r="AA341" s="1373" t="s">
        <v>2731</v>
      </c>
      <c r="AB341" s="1373"/>
      <c r="AC341" s="1373"/>
      <c r="AD341" s="1373"/>
      <c r="AE341" s="1373"/>
      <c r="AF341" s="1373"/>
      <c r="AG341" s="1409"/>
      <c r="AH341" s="1409"/>
      <c r="AI341" s="1409"/>
      <c r="AJ341" s="1409"/>
      <c r="AK341" s="1409"/>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09"/>
      <c r="Q343" s="1409"/>
      <c r="R343" s="1409"/>
      <c r="S343" s="1409"/>
      <c r="T343" s="1409"/>
      <c r="U343" s="1409"/>
      <c r="V343" s="1409"/>
      <c r="W343" s="1409"/>
      <c r="X343" s="1409"/>
      <c r="Y343" s="1409"/>
      <c r="Z343" s="1409"/>
      <c r="AA343" s="1409"/>
      <c r="AB343" s="1409"/>
      <c r="AC343" s="1409"/>
      <c r="AD343" s="1409"/>
      <c r="AE343" s="1409"/>
      <c r="BN343" t="s">
        <v>669</v>
      </c>
    </row>
    <row r="344" spans="1:66" ht="13"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3"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3"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3"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3"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3"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3" customHeight="1">
      <c r="T350" s="8"/>
      <c r="U350" s="8"/>
      <c r="V350" s="8"/>
      <c r="W350" s="8"/>
      <c r="X350" s="8"/>
      <c r="Y350" s="8"/>
      <c r="Z350" s="8"/>
      <c r="AU350" s="95"/>
      <c r="AV350" s="95"/>
      <c r="AW350" s="95"/>
      <c r="AX350" s="95"/>
      <c r="AY350" s="95"/>
    </row>
    <row r="351" spans="1:66" ht="13" customHeight="1">
      <c r="A351" s="1537" t="s">
        <v>542</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3"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2097</v>
      </c>
      <c r="M355" s="1417" t="s">
        <v>545</v>
      </c>
      <c r="N355" s="1417"/>
      <c r="P355" t="s">
        <v>1649</v>
      </c>
      <c r="AJ355" s="1417" t="s">
        <v>545</v>
      </c>
      <c r="AK355" s="1417"/>
    </row>
    <row r="356" spans="1:46" ht="13" customHeight="1">
      <c r="D356" s="3" t="s">
        <v>1638</v>
      </c>
      <c r="M356" s="1417" t="s">
        <v>591</v>
      </c>
      <c r="N356" s="1417"/>
      <c r="P356" s="3" t="s">
        <v>1717</v>
      </c>
      <c r="AJ356" s="1384">
        <v>0</v>
      </c>
      <c r="AK356" s="1384"/>
    </row>
    <row r="357" spans="1:46" ht="13" customHeight="1">
      <c r="D357" s="3" t="s">
        <v>704</v>
      </c>
      <c r="M357" s="1417" t="s">
        <v>591</v>
      </c>
      <c r="N357" s="1417"/>
      <c r="P357" t="s">
        <v>1648</v>
      </c>
      <c r="AJ357" s="1417" t="s">
        <v>669</v>
      </c>
      <c r="AK357" s="1417"/>
    </row>
    <row r="358" spans="1:46" ht="13" customHeight="1">
      <c r="D358" s="3" t="s">
        <v>705</v>
      </c>
      <c r="M358" s="1417" t="s">
        <v>591</v>
      </c>
      <c r="N358" s="1417"/>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7" t="s">
        <v>591</v>
      </c>
      <c r="O363" s="1417"/>
      <c r="P363" s="40"/>
      <c r="Q363" s="40"/>
      <c r="R363" s="40"/>
      <c r="S363" s="40"/>
      <c r="T363" s="40"/>
      <c r="U363" s="40"/>
      <c r="V363" s="40"/>
      <c r="W363" s="40"/>
      <c r="X363" s="40"/>
      <c r="Y363" s="40"/>
      <c r="Z363" s="40"/>
      <c r="AC363" s="40"/>
      <c r="AD363" s="40"/>
      <c r="AE363" s="40"/>
    </row>
    <row r="364" spans="1:46" ht="13" customHeight="1">
      <c r="E364" t="s">
        <v>370</v>
      </c>
      <c r="Y364" s="1417" t="s">
        <v>591</v>
      </c>
      <c r="Z364" s="1417"/>
    </row>
    <row r="365" spans="1:46" ht="13" customHeight="1">
      <c r="D365" s="4" t="s">
        <v>977</v>
      </c>
      <c r="Q365" s="1409"/>
      <c r="R365" s="1409"/>
      <c r="S365" s="1409"/>
      <c r="T365" s="1409"/>
      <c r="U365" s="1409"/>
      <c r="V365" s="1409"/>
      <c r="W365" s="1409"/>
      <c r="X365" s="1409"/>
      <c r="Y365" s="1409"/>
      <c r="Z365" s="1409"/>
      <c r="AA365" s="1409"/>
      <c r="AB365" s="1409"/>
      <c r="AC365" s="1409"/>
      <c r="AD365" s="1409"/>
      <c r="AE365" s="1409"/>
      <c r="AF365" s="1409"/>
      <c r="AG365" s="1409"/>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7" t="s">
        <v>591</v>
      </c>
      <c r="K367" s="1417"/>
      <c r="L367" s="40"/>
      <c r="M367" s="40"/>
      <c r="N367" s="40"/>
      <c r="O367" s="40"/>
      <c r="P367" s="40"/>
      <c r="Q367" s="40"/>
      <c r="R367" s="40"/>
      <c r="S367" s="40"/>
      <c r="T367" s="40"/>
      <c r="U367" s="40"/>
      <c r="V367" s="40"/>
      <c r="W367" s="40"/>
      <c r="X367" s="40"/>
      <c r="Y367" s="40"/>
      <c r="Z367" s="40"/>
      <c r="AC367" s="40"/>
      <c r="AD367" s="40"/>
      <c r="AE367" s="40"/>
    </row>
    <row r="368" spans="1:46" ht="13" customHeight="1">
      <c r="E368" s="1548" t="s">
        <v>706</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3"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3" customHeight="1">
      <c r="E370" s="4" t="s">
        <v>448</v>
      </c>
      <c r="F370" s="4"/>
      <c r="G370" s="4"/>
      <c r="H370" s="4"/>
      <c r="I370" s="4"/>
      <c r="J370" s="4"/>
      <c r="K370" s="4"/>
      <c r="L370" s="4"/>
      <c r="N370" s="1392"/>
      <c r="O370" s="1392"/>
      <c r="P370" s="1392"/>
      <c r="Q370" s="1392"/>
      <c r="R370" s="4"/>
      <c r="U370" s="4" t="s">
        <v>449</v>
      </c>
      <c r="V370" s="4"/>
      <c r="W370" s="4"/>
      <c r="X370" s="4"/>
      <c r="Y370" s="4"/>
      <c r="Z370" s="4"/>
      <c r="AA370" s="4"/>
      <c r="AB370" s="4"/>
      <c r="AC370" s="1392"/>
      <c r="AD370" s="1392"/>
      <c r="AE370" s="1392"/>
      <c r="AF370" s="1392"/>
    </row>
    <row r="371" spans="1:34" ht="13" customHeight="1">
      <c r="E371" s="4" t="s">
        <v>450</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3"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3"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3"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2083</v>
      </c>
      <c r="F377" s="4"/>
      <c r="G377" s="4"/>
      <c r="H377" s="4"/>
      <c r="I377" s="4"/>
      <c r="J377" s="4"/>
      <c r="K377" s="4"/>
      <c r="L377" s="4"/>
      <c r="N377" t="s">
        <v>2078</v>
      </c>
      <c r="R377" s="27" t="s">
        <v>305</v>
      </c>
      <c r="S377" s="1445"/>
      <c r="T377" s="1445"/>
      <c r="U377" s="1" t="s">
        <v>306</v>
      </c>
      <c r="V377" s="1445"/>
      <c r="W377" s="1445"/>
      <c r="Y377" t="s">
        <v>2078</v>
      </c>
      <c r="AC377" s="27" t="s">
        <v>305</v>
      </c>
      <c r="AD377" s="1445"/>
      <c r="AE377" s="1445"/>
      <c r="AF377" s="1" t="s">
        <v>306</v>
      </c>
      <c r="AG377" s="1445"/>
      <c r="AH377" s="1445"/>
    </row>
    <row r="378" spans="1:34" ht="13" customHeight="1">
      <c r="E378" s="4" t="s">
        <v>986</v>
      </c>
      <c r="F378" s="4"/>
      <c r="G378" s="4"/>
      <c r="H378" s="4"/>
      <c r="I378" s="4"/>
      <c r="J378" s="4"/>
      <c r="K378" s="4"/>
      <c r="L378" s="4"/>
      <c r="N378" s="1445"/>
      <c r="O378" s="1445"/>
      <c r="P378" s="1445"/>
    </row>
    <row r="379" spans="1:34" ht="13" customHeight="1">
      <c r="E379" s="204" t="s">
        <v>2084</v>
      </c>
      <c r="F379" s="4"/>
      <c r="G379" s="4"/>
      <c r="H379" s="4"/>
      <c r="I379" s="4"/>
      <c r="J379" s="4"/>
      <c r="K379" s="4"/>
      <c r="L379" s="4"/>
      <c r="AG379" s="1448" t="s">
        <v>591</v>
      </c>
      <c r="AH379" s="1448"/>
    </row>
    <row r="380" spans="1:34" ht="13" customHeight="1">
      <c r="E380" s="4"/>
      <c r="F380" s="4"/>
      <c r="G380" s="4" t="s">
        <v>2085</v>
      </c>
      <c r="H380" s="4"/>
      <c r="I380" s="4"/>
      <c r="J380" s="4"/>
      <c r="K380" s="4"/>
      <c r="L380" s="4"/>
      <c r="AG380" s="1448" t="s">
        <v>591</v>
      </c>
      <c r="AH380" s="1448"/>
    </row>
    <row r="381" spans="1:34" ht="13" customHeight="1">
      <c r="E381" s="4"/>
      <c r="F381" s="4"/>
      <c r="G381" s="320" t="s">
        <v>987</v>
      </c>
      <c r="H381" s="4"/>
      <c r="I381" s="4"/>
      <c r="J381" s="4"/>
      <c r="K381" s="4"/>
      <c r="L381" s="4"/>
      <c r="V381" s="1417" t="s">
        <v>591</v>
      </c>
      <c r="W381" s="1417"/>
      <c r="Y381" s="22" t="s">
        <v>979</v>
      </c>
    </row>
    <row r="382" spans="1:34" ht="13" customHeight="1">
      <c r="E382" s="4" t="s">
        <v>980</v>
      </c>
      <c r="F382" s="4"/>
      <c r="G382" s="4"/>
      <c r="H382" s="4"/>
      <c r="I382" s="4"/>
      <c r="J382" s="4"/>
      <c r="K382" s="4"/>
      <c r="L382" s="4"/>
      <c r="V382" s="1417" t="s">
        <v>591</v>
      </c>
      <c r="W382" s="1417"/>
      <c r="Y382" s="4" t="s">
        <v>981</v>
      </c>
    </row>
    <row r="383" spans="1:34" ht="13" customHeight="1"/>
    <row r="384" spans="1:34" ht="13" customHeight="1">
      <c r="A384" s="2" t="s">
        <v>78</v>
      </c>
      <c r="B384" s="2"/>
    </row>
    <row r="385" spans="4:36" ht="13" customHeight="1">
      <c r="D385" t="s">
        <v>428</v>
      </c>
      <c r="J385" s="1409" t="s">
        <v>2683</v>
      </c>
      <c r="K385" s="1409"/>
      <c r="L385" s="1409"/>
      <c r="M385" s="1409"/>
      <c r="N385" s="1409"/>
      <c r="O385" s="1409"/>
      <c r="P385" s="1409"/>
      <c r="Q385" s="1409"/>
      <c r="R385" s="1409"/>
      <c r="S385" s="1409"/>
      <c r="T385" s="1409"/>
      <c r="U385" s="1409"/>
      <c r="V385" s="8" t="s">
        <v>83</v>
      </c>
      <c r="W385" s="8"/>
      <c r="X385" s="8"/>
      <c r="Y385" s="8"/>
      <c r="Z385" s="8"/>
      <c r="AA385" s="8"/>
      <c r="AB385" s="8"/>
      <c r="AC385" s="1409" t="s">
        <v>2684</v>
      </c>
      <c r="AD385" s="1409"/>
      <c r="AE385" s="1409"/>
      <c r="AF385" s="1409"/>
      <c r="AG385" s="1409"/>
      <c r="AH385" s="1409"/>
      <c r="AI385" s="1409"/>
      <c r="AJ385" s="1409"/>
    </row>
    <row r="386" spans="4:36" ht="13" customHeight="1">
      <c r="D386" s="3" t="s">
        <v>1181</v>
      </c>
      <c r="J386" s="1373" t="s">
        <v>2684</v>
      </c>
      <c r="K386" s="1373"/>
      <c r="L386" s="1373"/>
      <c r="M386" s="1373"/>
      <c r="N386" s="1373"/>
      <c r="O386" s="1373"/>
      <c r="P386" s="1373"/>
      <c r="Q386" s="1373"/>
      <c r="R386" s="1373"/>
      <c r="S386" s="1373"/>
      <c r="T386" s="1373"/>
      <c r="U386" s="1373"/>
      <c r="V386" s="3" t="s">
        <v>1181</v>
      </c>
      <c r="W386" s="8"/>
      <c r="X386" s="8"/>
      <c r="Y386" s="8"/>
      <c r="Z386" s="8"/>
      <c r="AA386" s="8"/>
      <c r="AB386" s="8"/>
      <c r="AC386" s="1409" t="s">
        <v>2684</v>
      </c>
      <c r="AD386" s="1409"/>
      <c r="AE386" s="1409"/>
      <c r="AF386" s="1409"/>
      <c r="AG386" s="1409"/>
      <c r="AH386" s="1409"/>
      <c r="AI386" s="1409"/>
      <c r="AJ386" s="1409"/>
    </row>
    <row r="387" spans="4:36" ht="13" customHeight="1">
      <c r="D387" s="3" t="s">
        <v>441</v>
      </c>
      <c r="J387" s="1373" t="s">
        <v>2613</v>
      </c>
      <c r="K387" s="1373"/>
      <c r="L387" s="1373"/>
      <c r="M387" s="1373"/>
      <c r="N387" s="1373"/>
      <c r="O387" s="1373"/>
      <c r="P387" s="1373"/>
      <c r="Q387" s="1373"/>
      <c r="R387" s="1373"/>
      <c r="S387" s="1373"/>
      <c r="T387" s="1373"/>
      <c r="U387" s="1373"/>
      <c r="V387" s="3" t="s">
        <v>441</v>
      </c>
      <c r="W387" s="8"/>
      <c r="X387" s="8"/>
      <c r="Y387" s="8"/>
      <c r="Z387" s="8"/>
      <c r="AA387" s="8"/>
      <c r="AB387" s="8"/>
      <c r="AC387" s="1409" t="s">
        <v>2613</v>
      </c>
      <c r="AD387" s="1409"/>
      <c r="AE387" s="1409"/>
      <c r="AF387" s="1409"/>
      <c r="AG387" s="1409"/>
      <c r="AH387" s="1409"/>
      <c r="AI387" s="1409"/>
      <c r="AJ387" s="1409"/>
    </row>
    <row r="388" spans="4:36" ht="13" customHeight="1">
      <c r="D388" t="s">
        <v>1177</v>
      </c>
      <c r="J388" s="1429" t="s">
        <v>2685</v>
      </c>
      <c r="K388" s="1429"/>
      <c r="L388" s="1429"/>
      <c r="M388" s="1429"/>
      <c r="N388" s="1429"/>
      <c r="O388" s="1429"/>
      <c r="P388" s="1429"/>
      <c r="Q388" s="1429"/>
      <c r="R388" s="1429"/>
      <c r="S388" s="1429"/>
      <c r="T388" s="1429"/>
      <c r="U388" s="1429"/>
      <c r="V388" s="1409"/>
      <c r="W388" s="1409"/>
      <c r="X388" s="1409"/>
      <c r="Y388" s="1409"/>
      <c r="Z388" s="1409"/>
      <c r="AA388" s="1409"/>
      <c r="AB388" s="1409"/>
      <c r="AC388" s="1409"/>
      <c r="AD388" s="1409"/>
      <c r="AE388" s="1409"/>
      <c r="AF388" s="1409"/>
      <c r="AG388" s="1409"/>
      <c r="AH388" s="1409"/>
      <c r="AI388" s="1409"/>
      <c r="AJ388" s="1409"/>
    </row>
    <row r="389" spans="4:36" ht="13" customHeight="1">
      <c r="D389" t="s">
        <v>4</v>
      </c>
      <c r="Q389" s="1593">
        <v>45246</v>
      </c>
      <c r="R389" s="1593"/>
      <c r="S389" s="1593"/>
      <c r="T389" s="1593"/>
      <c r="U389" s="1593"/>
      <c r="V389" t="s">
        <v>309</v>
      </c>
      <c r="AI389" s="1417" t="s">
        <v>545</v>
      </c>
      <c r="AJ389" s="1417"/>
    </row>
    <row r="390" spans="4:36" ht="13" customHeight="1">
      <c r="D390" t="s">
        <v>5</v>
      </c>
      <c r="Q390" s="1522">
        <v>45892</v>
      </c>
      <c r="R390" s="1523"/>
      <c r="S390" s="1523"/>
      <c r="T390" s="1523"/>
      <c r="U390" s="1523"/>
      <c r="W390" s="21" t="s">
        <v>74</v>
      </c>
      <c r="AG390" s="1450"/>
      <c r="AH390" s="1450"/>
      <c r="AI390" s="1450"/>
      <c r="AJ390" s="1450"/>
    </row>
    <row r="391" spans="4:36" ht="13" customHeight="1">
      <c r="D391" t="s">
        <v>427</v>
      </c>
      <c r="Q391" s="1451">
        <v>8500000</v>
      </c>
      <c r="R391" s="1451"/>
      <c r="S391" s="1451"/>
      <c r="T391" s="1451"/>
      <c r="U391" s="1451"/>
      <c r="V391" s="3" t="s">
        <v>1180</v>
      </c>
      <c r="AG391" s="1520"/>
      <c r="AH391" s="1520"/>
      <c r="AI391" s="1520"/>
      <c r="AJ391" s="1520"/>
    </row>
    <row r="392" spans="4:36" ht="13" customHeight="1">
      <c r="D392" t="s">
        <v>88</v>
      </c>
      <c r="I392" s="1546"/>
      <c r="J392" s="1546"/>
      <c r="K392" s="1546"/>
      <c r="L392" s="1546"/>
      <c r="M392" s="1546"/>
      <c r="N392" s="1546"/>
      <c r="Q392" s="4" t="s">
        <v>206</v>
      </c>
      <c r="S392" s="1449"/>
      <c r="T392" s="1449"/>
      <c r="U392" s="1449"/>
      <c r="V392" t="s">
        <v>73</v>
      </c>
      <c r="AI392" s="1417" t="s">
        <v>669</v>
      </c>
      <c r="AJ392" s="1417"/>
    </row>
    <row r="393" spans="4:36" ht="13" customHeight="1">
      <c r="D393" t="s">
        <v>310</v>
      </c>
      <c r="Q393" s="1526" t="s">
        <v>591</v>
      </c>
      <c r="R393" s="1526"/>
      <c r="S393" s="1526"/>
      <c r="T393" s="1526"/>
      <c r="U393" s="1526"/>
      <c r="V393" t="s">
        <v>311</v>
      </c>
      <c r="AG393" s="1450"/>
      <c r="AH393" s="1450"/>
      <c r="AI393" s="1450"/>
      <c r="AJ393" s="1450"/>
    </row>
    <row r="394" spans="4:36" ht="13" customHeight="1">
      <c r="D394" t="s">
        <v>312</v>
      </c>
      <c r="Q394" s="1582" t="s">
        <v>591</v>
      </c>
      <c r="R394" s="1583"/>
      <c r="S394" s="1583"/>
      <c r="T394" s="1583"/>
      <c r="U394" s="1583"/>
      <c r="V394" t="s">
        <v>1162</v>
      </c>
      <c r="AG394" s="1450"/>
      <c r="AH394" s="1450"/>
      <c r="AI394" s="1450"/>
      <c r="AJ394" s="1450"/>
    </row>
    <row r="395" spans="4:36" ht="13" customHeight="1">
      <c r="D395" t="s">
        <v>1161</v>
      </c>
      <c r="AG395" s="1450"/>
      <c r="AH395" s="1450"/>
      <c r="AI395" s="1450"/>
      <c r="AJ395" s="1450"/>
    </row>
    <row r="396" spans="4:36" ht="13" customHeight="1">
      <c r="AG396" s="456"/>
      <c r="AH396" s="456"/>
      <c r="AI396" s="456"/>
      <c r="AJ396" s="456"/>
    </row>
    <row r="397" spans="4:36" ht="13" customHeight="1">
      <c r="D397" s="3" t="s">
        <v>2141</v>
      </c>
      <c r="AG397" s="456"/>
      <c r="AH397" s="456"/>
      <c r="AI397" s="1417" t="s">
        <v>669</v>
      </c>
      <c r="AJ397" s="1417"/>
    </row>
    <row r="398" spans="4:36" ht="13" customHeight="1">
      <c r="D398" s="3" t="s">
        <v>1666</v>
      </c>
      <c r="T398" s="1436"/>
      <c r="U398" s="1436"/>
      <c r="V398" s="1436"/>
      <c r="W398" s="1436"/>
      <c r="X398" s="1436"/>
      <c r="Y398" s="1436"/>
      <c r="Z398" s="1436"/>
      <c r="AA398" s="1436"/>
      <c r="AB398" s="1436"/>
      <c r="AC398" s="1436"/>
      <c r="AD398" s="1436"/>
      <c r="AE398" s="1436"/>
      <c r="AF398" s="1436"/>
      <c r="AG398" s="1436"/>
      <c r="AH398" s="1436"/>
      <c r="AI398" s="1436"/>
      <c r="AJ398" s="1436"/>
    </row>
    <row r="399" spans="4:36" ht="13" customHeight="1">
      <c r="D399" s="3" t="s">
        <v>1665</v>
      </c>
      <c r="T399" s="1436"/>
      <c r="U399" s="1436"/>
      <c r="V399" s="1436"/>
      <c r="W399" s="1436"/>
      <c r="X399" s="1436"/>
      <c r="Y399" s="1436"/>
      <c r="Z399" s="1436"/>
      <c r="AA399" s="1436"/>
      <c r="AB399" s="1436"/>
      <c r="AC399" s="1436"/>
      <c r="AD399" s="1436"/>
      <c r="AE399" s="1436"/>
      <c r="AF399" s="1436"/>
      <c r="AG399" s="1436"/>
      <c r="AH399" s="1436"/>
      <c r="AI399" s="1436"/>
      <c r="AJ399" s="1436"/>
    </row>
    <row r="400" spans="4:36" ht="13" customHeight="1">
      <c r="AG400" s="456"/>
      <c r="AH400" s="456"/>
      <c r="AI400" s="456"/>
      <c r="AJ400" s="456"/>
    </row>
    <row r="401" spans="1:36" ht="13" customHeight="1">
      <c r="D401" s="3" t="s">
        <v>1659</v>
      </c>
      <c r="S401" s="1436" t="s">
        <v>669</v>
      </c>
      <c r="T401" s="1436"/>
      <c r="U401" s="1436"/>
      <c r="V401" t="s">
        <v>1660</v>
      </c>
      <c r="AG401" s="1525"/>
      <c r="AH401" s="1525"/>
      <c r="AI401" s="1525"/>
      <c r="AJ401" s="1525"/>
    </row>
    <row r="402" spans="1:36" ht="13" customHeight="1">
      <c r="D402" s="3" t="s">
        <v>1657</v>
      </c>
      <c r="S402" s="1436" t="s">
        <v>591</v>
      </c>
      <c r="T402" s="1436"/>
      <c r="U402" s="1436"/>
      <c r="V402" t="s">
        <v>1662</v>
      </c>
      <c r="AE402" s="1519"/>
      <c r="AF402" s="1519"/>
      <c r="AG402" s="1519"/>
      <c r="AH402" s="1519"/>
      <c r="AI402" s="1519"/>
      <c r="AJ402" s="1519"/>
    </row>
    <row r="403" spans="1:36" ht="13" customHeight="1">
      <c r="D403" s="3" t="s">
        <v>1658</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3" customHeight="1">
      <c r="D404" s="3" t="s">
        <v>1661</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3" customHeight="1">
      <c r="D405" s="3" t="s">
        <v>1664</v>
      </c>
      <c r="E405" s="477"/>
      <c r="F405" s="477"/>
      <c r="G405" s="477"/>
      <c r="H405" s="477"/>
      <c r="I405" s="477"/>
      <c r="J405" s="477"/>
      <c r="K405" s="477"/>
      <c r="L405" s="477"/>
      <c r="M405" s="477"/>
      <c r="N405" s="477"/>
      <c r="O405" s="477"/>
      <c r="P405" s="477"/>
      <c r="Q405" s="477"/>
      <c r="R405" s="477"/>
      <c r="S405" s="1447" t="s">
        <v>1183</v>
      </c>
      <c r="T405" s="1447"/>
      <c r="U405" s="1447"/>
      <c r="V405" s="1447"/>
      <c r="W405" s="1447"/>
      <c r="X405" s="1447"/>
      <c r="Y405" s="1447"/>
      <c r="Z405" s="1447"/>
      <c r="AA405" s="1447"/>
      <c r="AB405" s="1447"/>
      <c r="AC405" s="1447"/>
      <c r="AD405" s="1447"/>
      <c r="AE405" s="1447"/>
      <c r="AF405" s="1447"/>
      <c r="AG405" s="1447"/>
      <c r="AH405" s="1447"/>
      <c r="AI405" s="1447"/>
      <c r="AJ405" s="1447"/>
    </row>
    <row r="406" spans="1:36" ht="13" customHeight="1">
      <c r="D406" s="1268" t="s">
        <v>1663</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589</v>
      </c>
      <c r="B409" s="2"/>
      <c r="C409" s="2" t="s">
        <v>111</v>
      </c>
    </row>
    <row r="410" spans="1:36" ht="13" customHeight="1">
      <c r="B410" s="2"/>
      <c r="C410" s="2"/>
      <c r="D410" s="2" t="s">
        <v>1203</v>
      </c>
      <c r="I410" s="1524" t="s">
        <v>2686</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3" customHeight="1">
      <c r="E411" t="s">
        <v>106</v>
      </c>
      <c r="R411" s="1417" t="s">
        <v>545</v>
      </c>
      <c r="S411" s="1417"/>
      <c r="AC411" s="27" t="s">
        <v>570</v>
      </c>
      <c r="AD411" s="1392">
        <v>8</v>
      </c>
      <c r="AE411" s="1392"/>
    </row>
    <row r="412" spans="1:36" ht="13" customHeight="1">
      <c r="E412" t="s">
        <v>107</v>
      </c>
      <c r="R412" s="1417" t="s">
        <v>591</v>
      </c>
      <c r="S412" s="1417"/>
      <c r="AC412" s="27" t="s">
        <v>570</v>
      </c>
      <c r="AD412" s="1392"/>
      <c r="AE412" s="1392"/>
    </row>
    <row r="413" spans="1:36" ht="13" customHeight="1">
      <c r="E413" t="s">
        <v>108</v>
      </c>
      <c r="S413" s="1417" t="s">
        <v>591</v>
      </c>
      <c r="T413" s="1417"/>
    </row>
    <row r="414" spans="1:36" ht="13" customHeight="1">
      <c r="E414" t="s">
        <v>170</v>
      </c>
      <c r="H414" s="1584" t="s">
        <v>2687</v>
      </c>
      <c r="I414" s="1584"/>
      <c r="J414" s="1584"/>
      <c r="K414" s="1584"/>
      <c r="L414" s="1584"/>
      <c r="M414" s="1584"/>
      <c r="N414" s="1584"/>
      <c r="O414" s="1584"/>
      <c r="P414" s="1584"/>
      <c r="Q414" s="1584"/>
      <c r="R414" s="1584"/>
      <c r="S414" s="1584"/>
      <c r="T414" s="1584"/>
      <c r="U414" s="1584"/>
      <c r="V414" s="1584"/>
      <c r="W414" s="1584"/>
      <c r="X414" s="1584"/>
      <c r="Y414" s="1584"/>
      <c r="Z414" s="1584"/>
      <c r="AA414" s="1584"/>
      <c r="AB414" s="1584"/>
      <c r="AC414" s="1584"/>
      <c r="AD414" s="1584"/>
      <c r="AE414" s="1584"/>
    </row>
    <row r="415" spans="1:36" ht="13" customHeight="1">
      <c r="H415" s="1585"/>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row>
    <row r="416" spans="1:36" ht="13" customHeight="1"/>
    <row r="417" spans="1:39" ht="13" customHeight="1">
      <c r="A417" s="2" t="s">
        <v>590</v>
      </c>
      <c r="B417" s="2"/>
      <c r="C417" s="2"/>
      <c r="D417" s="2" t="s">
        <v>114</v>
      </c>
      <c r="AF417" s="2" t="s">
        <v>957</v>
      </c>
    </row>
    <row r="418" spans="1:39" ht="13" customHeight="1">
      <c r="E418" s="1445"/>
      <c r="F418" s="1445"/>
      <c r="G418" s="1445"/>
      <c r="H418" s="13" t="s">
        <v>115</v>
      </c>
      <c r="I418" s="1445"/>
      <c r="J418" s="1445"/>
      <c r="K418" s="1445"/>
      <c r="L418" t="s">
        <v>116</v>
      </c>
      <c r="N418" s="27" t="s">
        <v>575</v>
      </c>
      <c r="P418" s="1587">
        <v>0.43</v>
      </c>
      <c r="Q418" s="1587"/>
      <c r="R418" s="1587"/>
      <c r="S418" t="s">
        <v>117</v>
      </c>
      <c r="W418" s="1446">
        <f>IF(E418&gt;0,(E418*I418),(P418*43560))</f>
        <v>18730.8</v>
      </c>
      <c r="X418" s="1446"/>
      <c r="Y418" s="1446"/>
      <c r="Z418" t="s">
        <v>118</v>
      </c>
      <c r="AF418" s="1588">
        <f>IFERROR(IF(P418&gt;0,(AG437/P418),(AG437/(W418/43560))),0)</f>
        <v>227.90697674418604</v>
      </c>
      <c r="AG418" s="1588"/>
      <c r="AH418" s="1588"/>
      <c r="AM418" s="3"/>
    </row>
    <row r="419" spans="1:39" ht="13" customHeight="1">
      <c r="E419" t="s">
        <v>51</v>
      </c>
    </row>
    <row r="420" spans="1:39" ht="13"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3" customHeight="1">
      <c r="E421" s="118" t="s">
        <v>1734</v>
      </c>
      <c r="F421" s="1013"/>
      <c r="G421" s="1013"/>
      <c r="H421" s="1013"/>
      <c r="I421" s="1586">
        <v>0.43</v>
      </c>
      <c r="J421" s="1586"/>
      <c r="K421" s="1586"/>
      <c r="L421" s="1013"/>
      <c r="M421" s="118"/>
      <c r="N421" s="1013"/>
      <c r="O421" s="1013"/>
      <c r="P421" s="1839">
        <f>(DU755+DU778+DU800)/I421</f>
        <v>455.81395348837208</v>
      </c>
      <c r="Q421" s="1839"/>
      <c r="R421" s="1839"/>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7">
        <v>1</v>
      </c>
      <c r="Q424" s="1417"/>
      <c r="S424" t="s">
        <v>189</v>
      </c>
      <c r="AE424" s="1417">
        <v>1</v>
      </c>
      <c r="AF424" s="1417"/>
    </row>
    <row r="425" spans="1:39" ht="13" customHeight="1">
      <c r="E425" t="s">
        <v>190</v>
      </c>
      <c r="P425" s="1417">
        <v>0</v>
      </c>
      <c r="Q425" s="1417"/>
      <c r="S425" t="s">
        <v>131</v>
      </c>
      <c r="AE425" s="1417" t="s">
        <v>545</v>
      </c>
      <c r="AF425" s="1417"/>
    </row>
    <row r="426" spans="1:39" ht="13" customHeight="1">
      <c r="F426" s="28" t="s">
        <v>132</v>
      </c>
    </row>
    <row r="427" spans="1:39" ht="13" customHeight="1">
      <c r="F427" s="1530" t="s">
        <v>2688</v>
      </c>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3"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3" customHeight="1">
      <c r="E429" t="s">
        <v>608</v>
      </c>
      <c r="P429" s="1"/>
      <c r="Q429" s="1417" t="s">
        <v>545</v>
      </c>
      <c r="R429" s="1417"/>
    </row>
    <row r="430" spans="1:39" ht="13" customHeight="1">
      <c r="F430" t="s">
        <v>609</v>
      </c>
      <c r="P430" s="1"/>
      <c r="Q430" s="1"/>
      <c r="AF430" s="1417" t="s">
        <v>591</v>
      </c>
      <c r="AG430" s="1507"/>
    </row>
    <row r="431" spans="1:39" ht="13" customHeight="1"/>
    <row r="432" spans="1:39" ht="13" customHeight="1">
      <c r="A432" s="2"/>
      <c r="B432" s="2"/>
      <c r="C432" s="2"/>
      <c r="E432" s="4" t="s">
        <v>308</v>
      </c>
      <c r="Z432" s="1417" t="s">
        <v>669</v>
      </c>
      <c r="AA432" s="1417"/>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7" t="s">
        <v>591</v>
      </c>
      <c r="AA434" s="1417"/>
    </row>
    <row r="435" spans="1:55" ht="13" customHeight="1"/>
    <row r="436" spans="1:55" ht="13" customHeight="1">
      <c r="A436" s="2" t="s">
        <v>467</v>
      </c>
      <c r="B436" s="2"/>
      <c r="C436" s="2"/>
      <c r="D436" s="2" t="s">
        <v>764</v>
      </c>
      <c r="AF436" s="48"/>
    </row>
    <row r="437" spans="1:55" ht="13" customHeight="1">
      <c r="D437" s="1506"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7">
        <v>98</v>
      </c>
      <c r="AH437" s="1387"/>
      <c r="AI437" s="1387"/>
      <c r="AJ437" s="1387"/>
    </row>
    <row r="438" spans="1:55" ht="13" customHeight="1">
      <c r="D438" s="1420" t="s">
        <v>1221</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5">
        <v>0</v>
      </c>
      <c r="AH438" s="1466"/>
      <c r="AI438" s="1466"/>
      <c r="AJ438" s="1466"/>
    </row>
    <row r="439" spans="1:55" ht="13" customHeight="1">
      <c r="D439" s="1420" t="s">
        <v>1030</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7">
        <v>97</v>
      </c>
      <c r="AH439" s="1387"/>
      <c r="AI439" s="1387"/>
      <c r="AJ439" s="1387"/>
    </row>
    <row r="440" spans="1:55" ht="13" customHeight="1">
      <c r="D440" s="1420" t="s">
        <v>1031</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7">
        <v>97</v>
      </c>
      <c r="AH440" s="1387"/>
      <c r="AI440" s="1387"/>
      <c r="AJ440" s="1387"/>
    </row>
    <row r="441" spans="1:55" ht="13" customHeight="1">
      <c r="D441" s="1420" t="s">
        <v>1033</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3" customHeight="1">
      <c r="D442" s="1420" t="s">
        <v>1032</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v>70454</v>
      </c>
      <c r="AH442" s="1418"/>
      <c r="AI442" s="1418"/>
      <c r="AJ442" s="1418"/>
    </row>
    <row r="443" spans="1:55" ht="13" customHeight="1">
      <c r="D443" s="1420" t="s">
        <v>1034</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v>70454</v>
      </c>
      <c r="AH443" s="1418"/>
      <c r="AI443" s="1418"/>
      <c r="AJ443" s="1418"/>
    </row>
    <row r="444" spans="1:55" ht="13" customHeight="1">
      <c r="D444" s="1420" t="s">
        <v>1035</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3" customHeight="1">
      <c r="D445" s="1420" t="s">
        <v>1036</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3" customHeight="1">
      <c r="D446" s="1420" t="s">
        <v>2086</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f>677+253+524+896</f>
        <v>2350</v>
      </c>
      <c r="AH446" s="1418"/>
      <c r="AI446" s="1418"/>
      <c r="AJ446" s="1418"/>
      <c r="AZ446" s="34"/>
      <c r="BA446" s="34"/>
      <c r="BB446" s="34"/>
      <c r="BC446" s="34"/>
    </row>
    <row r="447" spans="1:55" ht="13" customHeight="1">
      <c r="D447" s="1506" t="s">
        <v>569</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2700</v>
      </c>
      <c r="AH447" s="1418"/>
      <c r="AI447" s="1418"/>
      <c r="AJ447" s="1418"/>
      <c r="AZ447" s="3"/>
      <c r="BA447" s="3"/>
      <c r="BB447" s="3"/>
      <c r="BC447" s="3"/>
    </row>
    <row r="448" spans="1:55" ht="13" customHeight="1">
      <c r="D448" s="1420" t="s">
        <v>1204</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f>AG446+1100-896</f>
        <v>2554</v>
      </c>
      <c r="AH448" s="1418"/>
      <c r="AI448" s="1418"/>
      <c r="AJ448" s="1418"/>
      <c r="AZ448" s="3"/>
      <c r="BA448" s="3"/>
      <c r="BB448" s="3"/>
      <c r="BC448" s="3"/>
    </row>
    <row r="449" spans="1:55" ht="13" customHeight="1">
      <c r="D449" s="1420" t="s">
        <v>1037</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v>0</v>
      </c>
      <c r="AH449" s="1418"/>
      <c r="AI449" s="1418"/>
      <c r="AJ449" s="1418"/>
      <c r="BB449" s="3"/>
      <c r="BC449" s="3"/>
    </row>
    <row r="450" spans="1:55" ht="13" customHeight="1">
      <c r="D450" s="1579" t="s">
        <v>1038</v>
      </c>
      <c r="E450" s="1580"/>
      <c r="F450" s="1580"/>
      <c r="G450" s="1580"/>
      <c r="H450" s="1580"/>
      <c r="I450" s="1580"/>
      <c r="J450" s="1580"/>
      <c r="K450" s="1580"/>
      <c r="L450" s="1580"/>
      <c r="M450" s="1580"/>
      <c r="N450" s="1580"/>
      <c r="O450" s="1580"/>
      <c r="P450" s="1580"/>
      <c r="Q450" s="1580"/>
      <c r="R450" s="1580"/>
      <c r="S450" s="1580"/>
      <c r="T450" s="1580"/>
      <c r="U450" s="1580"/>
      <c r="V450" s="1580"/>
      <c r="W450" s="1580"/>
      <c r="X450" s="1580"/>
      <c r="Y450" s="1580"/>
      <c r="Z450" s="1580"/>
      <c r="AA450" s="1580"/>
      <c r="AB450" s="1580"/>
      <c r="AC450" s="1580"/>
      <c r="AD450" s="1580"/>
      <c r="AE450" s="1580"/>
      <c r="AF450" s="1581"/>
      <c r="AG450" s="1431">
        <f>AG442+AG446+AG448+AG449</f>
        <v>75358</v>
      </c>
      <c r="AH450" s="1431"/>
      <c r="AI450" s="1431"/>
      <c r="AJ450" s="1431"/>
      <c r="AZ450" s="3"/>
      <c r="BA450" s="3"/>
      <c r="BB450" s="3"/>
      <c r="BC450" s="3"/>
    </row>
    <row r="451" spans="1:55" ht="13" customHeight="1">
      <c r="D451" s="1589" t="s">
        <v>1205</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3"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571117.44897959183</v>
      </c>
      <c r="AD454" s="1375"/>
      <c r="AE454" s="1375"/>
      <c r="AF454" s="137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571117.44897959183</v>
      </c>
      <c r="AD455" s="1375"/>
      <c r="AE455" s="1375"/>
      <c r="AF455" s="137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532487.86734693882</v>
      </c>
      <c r="AD456" s="1375"/>
      <c r="AE456" s="1375"/>
      <c r="AF456" s="1375"/>
      <c r="AG456" s="177"/>
      <c r="AH456" s="177"/>
      <c r="AI456" s="177"/>
      <c r="AJ456" s="183"/>
      <c r="AZ456" s="3"/>
      <c r="BA456" s="3"/>
      <c r="BB456" s="3"/>
      <c r="BC456" s="3"/>
    </row>
    <row r="457" spans="1:55" ht="13" customHeight="1">
      <c r="D457" s="177"/>
      <c r="E457" s="177"/>
      <c r="F457" s="1376" t="str">
        <f>IFERROR(IF(AC454&gt;650000,"Please provide a justification of cost per unit in Tab 12 for all projects with per unit costs of greater than $650,000.",""),"")</f>
        <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3"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6" t="s">
        <v>2098</v>
      </c>
      <c r="E465" s="1378"/>
      <c r="F465" s="1378"/>
      <c r="G465" s="1378"/>
      <c r="H465" s="1378"/>
      <c r="I465" s="1378"/>
      <c r="J465" s="1378"/>
      <c r="K465" s="1378"/>
      <c r="L465" s="1378"/>
      <c r="M465" s="1378"/>
      <c r="N465" s="1378"/>
      <c r="O465" s="1378"/>
      <c r="P465" s="1378"/>
      <c r="Q465" s="1378"/>
      <c r="R465" s="1378"/>
      <c r="S465" s="1378"/>
      <c r="T465" s="1378"/>
      <c r="U465" s="1378"/>
      <c r="V465" s="1379"/>
      <c r="W465" s="1393">
        <v>11</v>
      </c>
      <c r="X465" s="1394"/>
      <c r="Y465" s="1395"/>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0</v>
      </c>
      <c r="X467" s="1394"/>
      <c r="Y467" s="1395"/>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7" t="s">
        <v>1011</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6" t="s">
        <v>2189</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6" t="s">
        <v>1653</v>
      </c>
      <c r="E473" s="1378"/>
      <c r="F473" s="1378"/>
      <c r="G473" s="1378"/>
      <c r="H473" s="1378"/>
      <c r="I473" s="1378"/>
      <c r="J473" s="1378"/>
      <c r="K473" s="1378"/>
      <c r="L473" s="1378"/>
      <c r="M473" s="1378"/>
      <c r="N473" s="1378"/>
      <c r="O473" s="1378"/>
      <c r="P473" s="1378"/>
      <c r="Q473" s="1378"/>
      <c r="R473" s="1378"/>
      <c r="S473" s="1378"/>
      <c r="T473" s="1378"/>
      <c r="U473" s="1378"/>
      <c r="V473" s="1379"/>
      <c r="W473" s="1393">
        <v>15</v>
      </c>
      <c r="X473" s="1394"/>
      <c r="Y473" s="1395"/>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75" t="s">
        <v>1040</v>
      </c>
      <c r="H474" s="1676"/>
      <c r="I474" s="1676"/>
      <c r="J474" s="1676"/>
      <c r="K474" s="1676"/>
      <c r="L474" s="1676"/>
      <c r="M474" s="1676"/>
      <c r="N474" s="1676"/>
      <c r="O474" s="1676"/>
      <c r="P474" s="1676"/>
      <c r="Q474" s="1676"/>
      <c r="R474" s="1676"/>
      <c r="S474" s="1676"/>
      <c r="T474" s="1676"/>
      <c r="U474" s="1676"/>
      <c r="V474" s="1677"/>
      <c r="W474" s="1393">
        <v>72</v>
      </c>
      <c r="X474" s="1394"/>
      <c r="Y474" s="1395"/>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37" t="s">
        <v>810</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3"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8" t="s">
        <v>393</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3" customHeight="1">
      <c r="B486" s="45" t="s">
        <v>394</v>
      </c>
      <c r="C486" s="5"/>
      <c r="D486" s="5"/>
      <c r="E486" s="5"/>
      <c r="F486" s="5"/>
      <c r="G486" s="5"/>
      <c r="H486" s="5"/>
      <c r="I486" s="5"/>
      <c r="J486" s="5"/>
      <c r="K486" s="5"/>
      <c r="L486" s="5"/>
      <c r="M486" s="5"/>
      <c r="N486" s="5"/>
      <c r="O486" s="5"/>
      <c r="P486" s="5"/>
      <c r="Q486" s="1372" t="s">
        <v>2689</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3" customHeight="1">
      <c r="B487" s="45" t="s">
        <v>395</v>
      </c>
      <c r="C487" s="5"/>
      <c r="D487" s="5"/>
      <c r="E487" s="5"/>
      <c r="F487" s="5"/>
      <c r="G487" s="5"/>
      <c r="H487" s="5"/>
      <c r="I487" s="5"/>
      <c r="J487" s="5"/>
      <c r="K487" s="5"/>
      <c r="L487" s="5"/>
      <c r="M487" s="5"/>
      <c r="N487" s="5"/>
      <c r="O487" s="5"/>
      <c r="P487" s="5"/>
      <c r="Q487" s="1372" t="s">
        <v>2689</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3" customHeight="1">
      <c r="B488" s="45" t="s">
        <v>396</v>
      </c>
      <c r="C488" s="5"/>
      <c r="D488" s="5"/>
      <c r="E488" s="5"/>
      <c r="F488" s="5"/>
      <c r="G488" s="5"/>
      <c r="H488" s="5"/>
      <c r="I488" s="5"/>
      <c r="J488" s="5"/>
      <c r="K488" s="5"/>
      <c r="L488" s="5"/>
      <c r="M488" s="5"/>
      <c r="N488" s="5"/>
      <c r="O488" s="5"/>
      <c r="P488" s="5"/>
      <c r="Q488" s="1372" t="s">
        <v>2689</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3" customHeight="1">
      <c r="B489" s="1455" t="s">
        <v>397</v>
      </c>
      <c r="C489" s="1456"/>
      <c r="D489" s="1456"/>
      <c r="E489" s="1456"/>
      <c r="F489" s="1456"/>
      <c r="G489" s="1456"/>
      <c r="H489" s="1456"/>
      <c r="I489" s="1456"/>
      <c r="J489" s="1456"/>
      <c r="K489" s="1456"/>
      <c r="L489" s="1456"/>
      <c r="M489" s="1456"/>
      <c r="N489" s="1456"/>
      <c r="O489" s="1456"/>
      <c r="P489" s="1457"/>
      <c r="Q489" s="1461" t="s">
        <v>669</v>
      </c>
      <c r="R489" s="1462"/>
      <c r="S489" s="1573" t="s">
        <v>166</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3" customHeight="1">
      <c r="B490" s="1458"/>
      <c r="C490" s="1459"/>
      <c r="D490" s="1459"/>
      <c r="E490" s="1459"/>
      <c r="F490" s="1459"/>
      <c r="G490" s="1459"/>
      <c r="H490" s="1459"/>
      <c r="I490" s="1459"/>
      <c r="J490" s="1459"/>
      <c r="K490" s="1459"/>
      <c r="L490" s="1459"/>
      <c r="M490" s="1459"/>
      <c r="N490" s="1459"/>
      <c r="O490" s="1459"/>
      <c r="P490" s="1460"/>
      <c r="Q490" s="1463"/>
      <c r="R490" s="1464"/>
      <c r="S490" s="1576"/>
      <c r="T490" s="1531"/>
      <c r="U490" s="1531"/>
      <c r="V490" s="1531"/>
      <c r="W490" s="1531"/>
      <c r="X490" s="1531"/>
      <c r="Y490" s="1531"/>
      <c r="Z490" s="1531"/>
      <c r="AA490" s="1531"/>
      <c r="AB490" s="1531"/>
      <c r="AC490" s="1531"/>
      <c r="AD490" s="1531"/>
      <c r="AE490" s="1531"/>
      <c r="AF490" s="1531"/>
      <c r="AG490" s="1531"/>
      <c r="AH490" s="1531"/>
      <c r="AI490" s="1531"/>
      <c r="AJ490" s="1531"/>
      <c r="AK490" s="1577"/>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380" t="s">
        <v>669</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3" customHeight="1">
      <c r="B492" s="45" t="s">
        <v>398</v>
      </c>
      <c r="C492" s="5"/>
      <c r="D492" s="5"/>
      <c r="E492" s="5"/>
      <c r="F492" s="5"/>
      <c r="G492" s="5"/>
      <c r="H492" s="5"/>
      <c r="I492" s="5"/>
      <c r="J492" s="5"/>
      <c r="K492" s="5"/>
      <c r="L492" s="5"/>
      <c r="M492" s="5"/>
      <c r="N492" s="5"/>
      <c r="O492" s="5"/>
      <c r="P492" s="5"/>
      <c r="Q492" s="1372" t="s">
        <v>2690</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3" customHeight="1">
      <c r="B493" s="45" t="s">
        <v>399</v>
      </c>
      <c r="C493" s="5"/>
      <c r="D493" s="5"/>
      <c r="E493" s="5"/>
      <c r="F493" s="5"/>
      <c r="G493" s="5"/>
      <c r="H493" s="5"/>
      <c r="I493" s="5"/>
      <c r="J493" s="5"/>
      <c r="K493" s="5"/>
      <c r="L493" s="5"/>
      <c r="M493" s="5"/>
      <c r="N493" s="5"/>
      <c r="O493" s="5"/>
      <c r="P493" s="5"/>
      <c r="Q493" s="1372" t="s">
        <v>2691</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3" customHeight="1">
      <c r="B494" s="121" t="s">
        <v>1667</v>
      </c>
      <c r="C494" s="5"/>
      <c r="D494" s="5"/>
      <c r="E494" s="5"/>
      <c r="F494" s="5"/>
      <c r="G494" s="5"/>
      <c r="H494" s="5"/>
      <c r="I494" s="5"/>
      <c r="J494" s="5"/>
      <c r="K494" s="5"/>
      <c r="L494" s="5"/>
      <c r="M494" s="5"/>
      <c r="N494" s="5"/>
      <c r="O494" s="5"/>
      <c r="P494" s="5"/>
      <c r="Q494" s="1372">
        <v>14</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3" customHeight="1">
      <c r="B495" s="121" t="s">
        <v>1668</v>
      </c>
      <c r="C495" s="5"/>
      <c r="D495" s="5"/>
      <c r="E495" s="5"/>
      <c r="F495" s="5"/>
      <c r="G495" s="5"/>
      <c r="H495" s="5"/>
      <c r="I495" s="5"/>
      <c r="J495" s="5"/>
      <c r="K495" s="5"/>
      <c r="L495" s="5"/>
      <c r="M495" s="1383"/>
      <c r="N495" s="1384"/>
      <c r="O495" s="1384"/>
      <c r="P495" s="1385"/>
      <c r="Q495" s="121" t="s">
        <v>1669</v>
      </c>
      <c r="R495" s="5"/>
      <c r="S495" s="5"/>
      <c r="T495" s="5"/>
      <c r="U495" s="5"/>
      <c r="V495" s="5"/>
      <c r="W495" s="5"/>
      <c r="X495" s="5"/>
      <c r="Y495" s="5"/>
      <c r="Z495" s="5"/>
      <c r="AA495" s="5"/>
      <c r="AB495" s="5"/>
      <c r="AC495" s="5"/>
      <c r="AD495" s="5"/>
      <c r="AE495" s="5"/>
      <c r="AF495" s="5"/>
      <c r="AG495" s="5"/>
      <c r="AH495" s="1383">
        <v>14</v>
      </c>
      <c r="AI495" s="1384"/>
      <c r="AJ495" s="1384"/>
      <c r="AK495" s="1385"/>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401</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402</v>
      </c>
      <c r="AD500" s="1389"/>
      <c r="AE500" s="1389"/>
      <c r="AF500" s="1389"/>
      <c r="AG500" s="50" t="s">
        <v>403</v>
      </c>
      <c r="AH500" s="1389" t="s">
        <v>404</v>
      </c>
      <c r="AI500" s="1389"/>
      <c r="AJ500" s="1389"/>
      <c r="AK500" s="1390"/>
      <c r="AZ500" s="3"/>
      <c r="BA500" s="3"/>
      <c r="BB500" s="3"/>
      <c r="BC500" s="3"/>
      <c r="BD500" s="3"/>
      <c r="BE500" s="3"/>
      <c r="BF500" s="3"/>
      <c r="BG500" s="3"/>
      <c r="BH500" s="3"/>
      <c r="BI500" s="3"/>
      <c r="BJ500" s="3"/>
      <c r="BK500" s="3"/>
      <c r="BL500" s="3"/>
      <c r="BM500" s="3"/>
      <c r="BN500" s="3"/>
    </row>
    <row r="501" spans="1:66" ht="13" customHeight="1">
      <c r="B501" s="1398" t="s">
        <v>405</v>
      </c>
      <c r="C501" s="1399"/>
      <c r="D501" s="1399"/>
      <c r="E501" s="1399"/>
      <c r="F501" s="1399"/>
      <c r="G501" s="1399"/>
      <c r="H501" s="1400"/>
      <c r="I501" s="42" t="s">
        <v>406</v>
      </c>
      <c r="J501" s="42"/>
      <c r="K501" s="42"/>
      <c r="L501" s="42"/>
      <c r="M501" s="42"/>
      <c r="N501" s="42"/>
      <c r="O501" s="42"/>
      <c r="P501" s="42"/>
      <c r="Q501" s="42"/>
      <c r="R501" s="42"/>
      <c r="S501" s="42"/>
      <c r="T501" s="42"/>
      <c r="U501" s="42"/>
      <c r="V501" s="42"/>
      <c r="W501" s="42"/>
      <c r="AC501" s="1391" t="s">
        <v>591</v>
      </c>
      <c r="AD501" s="1392"/>
      <c r="AE501" s="1392"/>
      <c r="AF501" s="1392"/>
      <c r="AG501" s="13" t="s">
        <v>403</v>
      </c>
      <c r="AH501" s="1429">
        <v>0</v>
      </c>
      <c r="AI501" s="1429"/>
      <c r="AJ501" s="1429"/>
      <c r="AK501" s="1430"/>
      <c r="AZ501" s="3"/>
      <c r="BA501" s="3"/>
      <c r="BB501" s="3"/>
      <c r="BC501" s="3"/>
      <c r="BD501" s="3"/>
      <c r="BE501" s="3"/>
      <c r="BF501" s="3"/>
      <c r="BG501" s="3"/>
      <c r="BH501" s="3"/>
      <c r="BI501" s="3"/>
      <c r="BJ501" s="3"/>
      <c r="BK501" s="3"/>
      <c r="BL501" s="3"/>
      <c r="BM501" s="3"/>
      <c r="BN501" s="3"/>
    </row>
    <row r="502" spans="1:66" ht="13" customHeight="1">
      <c r="B502" s="1401"/>
      <c r="C502" s="1402"/>
      <c r="D502" s="1402"/>
      <c r="E502" s="1402"/>
      <c r="F502" s="1402"/>
      <c r="G502" s="1402"/>
      <c r="H502" s="1403"/>
      <c r="I502" s="48" t="s">
        <v>407</v>
      </c>
      <c r="J502" s="48"/>
      <c r="K502" s="48"/>
      <c r="L502" s="48"/>
      <c r="M502" s="48"/>
      <c r="N502" s="48"/>
      <c r="O502" s="48"/>
      <c r="P502" s="48"/>
      <c r="Q502" s="48"/>
      <c r="R502" s="48"/>
      <c r="S502" s="48"/>
      <c r="T502" s="48"/>
      <c r="U502" s="48"/>
      <c r="V502" s="48"/>
      <c r="W502" s="48"/>
      <c r="X502" s="48"/>
      <c r="Y502" s="48"/>
      <c r="Z502" s="48"/>
      <c r="AA502" s="48"/>
      <c r="AB502" s="48"/>
      <c r="AC502" s="1391">
        <v>11</v>
      </c>
      <c r="AD502" s="1392"/>
      <c r="AE502" s="1392"/>
      <c r="AF502" s="1392"/>
      <c r="AG502" s="38" t="s">
        <v>403</v>
      </c>
      <c r="AH502" s="1429">
        <v>2023</v>
      </c>
      <c r="AI502" s="1429"/>
      <c r="AJ502" s="1429"/>
      <c r="AK502" s="1430"/>
      <c r="AZ502" s="3"/>
      <c r="BA502" s="3"/>
      <c r="BB502" s="3"/>
      <c r="BC502" s="3"/>
      <c r="BD502" s="3"/>
      <c r="BE502" s="3"/>
      <c r="BF502" s="3"/>
      <c r="BG502" s="3"/>
      <c r="BH502" s="3"/>
      <c r="BI502" s="3"/>
      <c r="BJ502" s="3"/>
      <c r="BK502" s="3"/>
      <c r="BL502" s="3"/>
      <c r="BM502" s="3"/>
      <c r="BN502" s="3"/>
    </row>
    <row r="503" spans="1:66" ht="13" customHeight="1">
      <c r="B503" s="1398" t="s">
        <v>408</v>
      </c>
      <c r="C503" s="1399"/>
      <c r="D503" s="1399"/>
      <c r="E503" s="1399"/>
      <c r="F503" s="1399"/>
      <c r="G503" s="1399"/>
      <c r="H503" s="1400"/>
      <c r="I503" s="42" t="s">
        <v>409</v>
      </c>
      <c r="J503" s="42"/>
      <c r="K503" s="42"/>
      <c r="L503" s="42"/>
      <c r="M503" s="42"/>
      <c r="N503" s="42"/>
      <c r="O503" s="42"/>
      <c r="P503" s="42"/>
      <c r="Q503" s="42"/>
      <c r="R503" s="42"/>
      <c r="S503" s="42"/>
      <c r="T503" s="42"/>
      <c r="U503" s="42"/>
      <c r="V503" s="42"/>
      <c r="W503" s="42"/>
      <c r="AC503" s="1391" t="s">
        <v>591</v>
      </c>
      <c r="AD503" s="1392"/>
      <c r="AE503" s="1392"/>
      <c r="AF503" s="1392"/>
      <c r="AG503" s="13" t="s">
        <v>403</v>
      </c>
      <c r="AH503" s="1429"/>
      <c r="AI503" s="1429"/>
      <c r="AJ503" s="1429"/>
      <c r="AK503" s="1430"/>
      <c r="AZ503" s="3"/>
      <c r="BA503" s="3"/>
      <c r="BB503" s="3"/>
      <c r="BC503" s="3"/>
      <c r="BD503" s="3"/>
      <c r="BE503" s="3"/>
      <c r="BF503" s="3"/>
      <c r="BG503" s="3"/>
      <c r="BH503" s="3"/>
      <c r="BI503" s="3"/>
      <c r="BJ503" s="3"/>
      <c r="BK503" s="3"/>
      <c r="BL503" s="3"/>
      <c r="BM503" s="3"/>
      <c r="BN503" s="3"/>
    </row>
    <row r="504" spans="1:66" ht="13" customHeight="1">
      <c r="B504" s="1401"/>
      <c r="C504" s="1402"/>
      <c r="D504" s="1402"/>
      <c r="E504" s="1402"/>
      <c r="F504" s="1402"/>
      <c r="G504" s="1402"/>
      <c r="H504" s="1403"/>
      <c r="I504" t="s">
        <v>410</v>
      </c>
      <c r="AC504" s="1391" t="s">
        <v>591</v>
      </c>
      <c r="AD504" s="1392"/>
      <c r="AE504" s="1392"/>
      <c r="AF504" s="1392"/>
      <c r="AG504" s="13" t="s">
        <v>403</v>
      </c>
      <c r="AH504" s="1429"/>
      <c r="AI504" s="1429"/>
      <c r="AJ504" s="1429"/>
      <c r="AK504" s="1430"/>
      <c r="AZ504" s="3"/>
      <c r="BA504" s="3"/>
      <c r="BB504" s="3"/>
      <c r="BC504" s="3"/>
      <c r="BD504" s="3"/>
      <c r="BE504" s="3"/>
      <c r="BF504" s="3"/>
      <c r="BG504" s="3"/>
      <c r="BH504" s="3"/>
      <c r="BI504" s="3"/>
      <c r="BJ504" s="3"/>
      <c r="BK504" s="3"/>
      <c r="BL504" s="3"/>
      <c r="BM504" s="3"/>
      <c r="BN504" s="3"/>
    </row>
    <row r="505" spans="1:66" ht="13" customHeight="1">
      <c r="B505" s="1401"/>
      <c r="C505" s="1402"/>
      <c r="D505" s="1402"/>
      <c r="E505" s="1402"/>
      <c r="F505" s="1402"/>
      <c r="G505" s="1402"/>
      <c r="H505" s="1403"/>
      <c r="I505" t="s">
        <v>411</v>
      </c>
      <c r="AC505" s="1391" t="s">
        <v>591</v>
      </c>
      <c r="AD505" s="1392"/>
      <c r="AE505" s="1392"/>
      <c r="AF505" s="1392"/>
      <c r="AG505" s="13" t="s">
        <v>403</v>
      </c>
      <c r="AH505" s="1429"/>
      <c r="AI505" s="1429"/>
      <c r="AJ505" s="1429"/>
      <c r="AK505" s="1430"/>
      <c r="AZ505" s="3"/>
      <c r="BA505" s="3"/>
      <c r="BB505" s="3"/>
      <c r="BC505" s="3"/>
      <c r="BD505" s="3"/>
      <c r="BE505" s="3"/>
      <c r="BF505" s="3"/>
      <c r="BG505" s="3"/>
      <c r="BH505" s="3"/>
      <c r="BI505" s="3"/>
      <c r="BJ505" s="3"/>
      <c r="BK505" s="3"/>
      <c r="BL505" s="3"/>
      <c r="BM505" s="3"/>
      <c r="BN505" s="3"/>
    </row>
    <row r="506" spans="1:66" ht="13" customHeight="1">
      <c r="B506" s="1401"/>
      <c r="C506" s="1402"/>
      <c r="D506" s="1402"/>
      <c r="E506" s="1402"/>
      <c r="F506" s="1402"/>
      <c r="G506" s="1402"/>
      <c r="H506" s="1403"/>
      <c r="I506" t="s">
        <v>412</v>
      </c>
      <c r="AC506" s="1391">
        <v>12</v>
      </c>
      <c r="AD506" s="1392"/>
      <c r="AE506" s="1392"/>
      <c r="AF506" s="1392"/>
      <c r="AG506" s="13" t="s">
        <v>403</v>
      </c>
      <c r="AH506" s="1429">
        <v>2025</v>
      </c>
      <c r="AI506" s="1429"/>
      <c r="AJ506" s="1429"/>
      <c r="AK506" s="1430"/>
      <c r="AZ506" s="3"/>
      <c r="BA506" s="3"/>
      <c r="BB506" s="3"/>
      <c r="BC506" s="3"/>
      <c r="BD506" s="3"/>
      <c r="BE506" s="3"/>
      <c r="BF506" s="3"/>
      <c r="BG506" s="3"/>
      <c r="BH506" s="3"/>
      <c r="BI506" s="3"/>
      <c r="BJ506" s="3"/>
      <c r="BK506" s="3"/>
      <c r="BL506" s="3"/>
      <c r="BM506" s="3"/>
      <c r="BN506" s="3"/>
    </row>
    <row r="507" spans="1:66" ht="13" customHeight="1">
      <c r="B507" s="1401"/>
      <c r="C507" s="1402"/>
      <c r="D507" s="1402"/>
      <c r="E507" s="1402"/>
      <c r="F507" s="1402"/>
      <c r="G507" s="1402"/>
      <c r="H507" s="1403"/>
      <c r="I507" s="3" t="s">
        <v>413</v>
      </c>
      <c r="AC507" s="1357">
        <v>12</v>
      </c>
      <c r="AD507" s="1358"/>
      <c r="AE507" s="1358"/>
      <c r="AF507" s="1358"/>
      <c r="AG507" s="13" t="s">
        <v>403</v>
      </c>
      <c r="AH507" s="1429">
        <v>2025</v>
      </c>
      <c r="AI507" s="1429"/>
      <c r="AJ507" s="1429"/>
      <c r="AK507" s="1430"/>
      <c r="AZ507" s="3"/>
      <c r="BA507" s="3"/>
      <c r="BB507" s="3"/>
      <c r="BC507" s="3"/>
      <c r="BD507" s="3"/>
      <c r="BE507" s="3"/>
      <c r="BF507" s="3"/>
      <c r="BG507" s="3"/>
      <c r="BH507" s="3"/>
      <c r="BI507" s="3"/>
      <c r="BJ507" s="3"/>
      <c r="BK507" s="3"/>
      <c r="BL507" s="3"/>
      <c r="BM507" s="3"/>
      <c r="BN507" s="3"/>
    </row>
    <row r="508" spans="1:66" ht="13" customHeight="1">
      <c r="B508" s="1401"/>
      <c r="C508" s="1402"/>
      <c r="D508" s="1402"/>
      <c r="E508" s="1402"/>
      <c r="F508" s="1402"/>
      <c r="G508" s="1402"/>
      <c r="H508" s="1403"/>
      <c r="I508" s="896" t="s">
        <v>170</v>
      </c>
      <c r="J508" s="48"/>
      <c r="K508" s="48"/>
      <c r="L508" s="1435" t="s">
        <v>334</v>
      </c>
      <c r="M508" s="1436"/>
      <c r="N508" s="1436"/>
      <c r="O508" s="1436"/>
      <c r="P508" s="1436"/>
      <c r="Q508" s="1436"/>
      <c r="R508" s="1436"/>
      <c r="S508" s="1436"/>
      <c r="T508" s="1436"/>
      <c r="U508" s="1436"/>
      <c r="V508" s="1436"/>
      <c r="W508" s="1436"/>
      <c r="X508" s="1436"/>
      <c r="Y508" s="1436"/>
      <c r="Z508" s="1436"/>
      <c r="AA508" s="1436"/>
      <c r="AB508" s="1437"/>
      <c r="AC508" s="1391" t="s">
        <v>591</v>
      </c>
      <c r="AD508" s="1392"/>
      <c r="AE508" s="1392"/>
      <c r="AF508" s="1392"/>
      <c r="AG508" s="38" t="s">
        <v>403</v>
      </c>
      <c r="AH508" s="1429"/>
      <c r="AI508" s="1429"/>
      <c r="AJ508" s="1429"/>
      <c r="AK508" s="1430"/>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387" t="s">
        <v>1183</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91"/>
      <c r="AI512" s="1591"/>
      <c r="AJ512" s="1591"/>
      <c r="AK512" s="1592"/>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8" t="s">
        <v>402</v>
      </c>
      <c r="AD513" s="1433"/>
      <c r="AE513" s="1433"/>
      <c r="AF513" s="1433"/>
      <c r="AG513" s="38" t="s">
        <v>403</v>
      </c>
      <c r="AH513" s="1433" t="s">
        <v>404</v>
      </c>
      <c r="AI513" s="1433"/>
      <c r="AJ513" s="1433"/>
      <c r="AK513" s="1434"/>
      <c r="AZ513" s="3"/>
      <c r="BA513" s="3"/>
      <c r="BB513" s="3"/>
      <c r="BC513" s="3"/>
      <c r="BD513" s="3"/>
      <c r="BE513" s="3"/>
      <c r="BF513" s="3"/>
      <c r="BG513" s="3"/>
      <c r="BH513" s="3"/>
      <c r="BI513" s="3"/>
      <c r="BJ513" s="3"/>
      <c r="BK513" s="3"/>
      <c r="BL513" s="3"/>
      <c r="BM513" s="3"/>
      <c r="BN513" s="3" t="s">
        <v>2103</v>
      </c>
    </row>
    <row r="514" spans="2:66" ht="13" customHeight="1">
      <c r="B514" s="1398" t="s">
        <v>414</v>
      </c>
      <c r="C514" s="1399"/>
      <c r="D514" s="1399"/>
      <c r="E514" s="1399"/>
      <c r="F514" s="1399"/>
      <c r="G514" s="1399"/>
      <c r="H514" s="1400"/>
      <c r="I514" s="42" t="s">
        <v>415</v>
      </c>
      <c r="J514" s="42"/>
      <c r="K514" s="42"/>
      <c r="L514" s="42"/>
      <c r="M514" s="42"/>
      <c r="N514" s="42"/>
      <c r="O514" s="42"/>
      <c r="P514" s="42"/>
      <c r="Q514" s="42"/>
      <c r="R514" s="42"/>
      <c r="S514" s="42"/>
      <c r="T514" s="42"/>
      <c r="U514" s="42"/>
      <c r="V514" s="42"/>
      <c r="W514" s="42"/>
      <c r="AC514" s="1391">
        <v>5</v>
      </c>
      <c r="AD514" s="1392"/>
      <c r="AE514" s="1392"/>
      <c r="AF514" s="1392"/>
      <c r="AG514" s="13" t="s">
        <v>403</v>
      </c>
      <c r="AH514" s="1429">
        <v>2025</v>
      </c>
      <c r="AI514" s="1429"/>
      <c r="AJ514" s="1429"/>
      <c r="AK514" s="1430"/>
      <c r="AZ514" s="3"/>
      <c r="BA514" s="3"/>
      <c r="BB514" s="3"/>
      <c r="BC514" s="3"/>
      <c r="BD514" s="3"/>
      <c r="BE514" s="3"/>
      <c r="BF514" s="3"/>
      <c r="BG514" s="3"/>
      <c r="BH514" s="3"/>
      <c r="BI514" s="3"/>
      <c r="BJ514" s="3"/>
      <c r="BK514" s="3"/>
      <c r="BL514" s="3"/>
      <c r="BM514" s="3"/>
      <c r="BN514" s="3" t="s">
        <v>2104</v>
      </c>
    </row>
    <row r="515" spans="2:66" ht="13" customHeight="1">
      <c r="B515" s="1401"/>
      <c r="C515" s="1402"/>
      <c r="D515" s="1402"/>
      <c r="E515" s="1402"/>
      <c r="F515" s="1402"/>
      <c r="G515" s="1402"/>
      <c r="H515" s="1403"/>
      <c r="I515" t="s">
        <v>416</v>
      </c>
      <c r="AC515" s="1391">
        <v>5</v>
      </c>
      <c r="AD515" s="1392"/>
      <c r="AE515" s="1392"/>
      <c r="AF515" s="1392"/>
      <c r="AG515" s="13" t="s">
        <v>403</v>
      </c>
      <c r="AH515" s="1429">
        <v>2025</v>
      </c>
      <c r="AI515" s="1429"/>
      <c r="AJ515" s="1429"/>
      <c r="AK515" s="1430"/>
      <c r="AZ515" s="3"/>
      <c r="BA515" s="3"/>
      <c r="BB515" s="3"/>
      <c r="BC515" s="3"/>
      <c r="BD515" s="3"/>
      <c r="BE515" s="3"/>
      <c r="BF515" s="3"/>
      <c r="BG515" s="3"/>
      <c r="BH515" s="3"/>
      <c r="BI515" s="3"/>
      <c r="BJ515" s="3"/>
      <c r="BK515" s="3"/>
      <c r="BL515" s="3"/>
      <c r="BM515" s="3"/>
      <c r="BN515" s="3" t="s">
        <v>2105</v>
      </c>
    </row>
    <row r="516" spans="2:66" ht="13" customHeight="1">
      <c r="B516" s="1401"/>
      <c r="C516" s="1402"/>
      <c r="D516" s="1402"/>
      <c r="E516" s="1402"/>
      <c r="F516" s="1402"/>
      <c r="G516" s="1402"/>
      <c r="H516" s="1403"/>
      <c r="I516" s="48" t="s">
        <v>417</v>
      </c>
      <c r="J516" s="48"/>
      <c r="K516" s="48"/>
      <c r="L516" s="48"/>
      <c r="M516" s="48"/>
      <c r="N516" s="48"/>
      <c r="O516" s="48"/>
      <c r="P516" s="48"/>
      <c r="Q516" s="48"/>
      <c r="R516" s="48"/>
      <c r="S516" s="48"/>
      <c r="T516" s="48"/>
      <c r="U516" s="48"/>
      <c r="V516" s="48"/>
      <c r="W516" s="48"/>
      <c r="X516" s="48"/>
      <c r="Y516" s="48"/>
      <c r="Z516" s="48"/>
      <c r="AA516" s="48"/>
      <c r="AB516" s="48"/>
      <c r="AC516" s="1391">
        <v>2</v>
      </c>
      <c r="AD516" s="1392"/>
      <c r="AE516" s="1392"/>
      <c r="AF516" s="1392"/>
      <c r="AG516" s="38" t="s">
        <v>403</v>
      </c>
      <c r="AH516" s="1429">
        <v>2026</v>
      </c>
      <c r="AI516" s="1429"/>
      <c r="AJ516" s="1429"/>
      <c r="AK516" s="1430"/>
      <c r="AZ516" s="3"/>
      <c r="BA516" s="3"/>
      <c r="BB516" s="3"/>
      <c r="BC516" s="3"/>
      <c r="BD516" s="3"/>
      <c r="BE516" s="3"/>
      <c r="BF516" s="3"/>
      <c r="BG516" s="3"/>
      <c r="BH516" s="3"/>
      <c r="BI516" s="3"/>
      <c r="BJ516" s="3"/>
      <c r="BK516" s="3"/>
      <c r="BL516" s="3"/>
      <c r="BM516" s="3"/>
      <c r="BN516" s="3" t="s">
        <v>2106</v>
      </c>
    </row>
    <row r="517" spans="2:66" ht="13" customHeight="1">
      <c r="B517" s="1398" t="s">
        <v>418</v>
      </c>
      <c r="C517" s="1399"/>
      <c r="D517" s="1399"/>
      <c r="E517" s="1399"/>
      <c r="F517" s="1399"/>
      <c r="G517" s="1399"/>
      <c r="H517" s="1400"/>
      <c r="I517" s="42" t="s">
        <v>415</v>
      </c>
      <c r="J517" s="42"/>
      <c r="K517" s="42"/>
      <c r="L517" s="42"/>
      <c r="M517" s="42"/>
      <c r="N517" s="42"/>
      <c r="O517" s="42"/>
      <c r="P517" s="42"/>
      <c r="Q517" s="42"/>
      <c r="R517" s="42"/>
      <c r="S517" s="42"/>
      <c r="T517" s="42"/>
      <c r="U517" s="42"/>
      <c r="V517" s="42"/>
      <c r="W517" s="42"/>
      <c r="X517" s="42"/>
      <c r="Y517" s="42"/>
      <c r="Z517" s="42"/>
      <c r="AA517" s="42"/>
      <c r="AB517" s="42"/>
      <c r="AC517" s="1357">
        <v>5</v>
      </c>
      <c r="AD517" s="1358"/>
      <c r="AE517" s="1358"/>
      <c r="AF517" s="1358"/>
      <c r="AG517" s="129" t="s">
        <v>403</v>
      </c>
      <c r="AH517" s="1429">
        <v>2025</v>
      </c>
      <c r="AI517" s="1429"/>
      <c r="AJ517" s="1429"/>
      <c r="AK517" s="1430"/>
      <c r="AZ517" s="3"/>
      <c r="BB517" s="3"/>
      <c r="BC517" s="3"/>
      <c r="BD517" s="3"/>
      <c r="BE517" s="3"/>
      <c r="BF517" s="3"/>
      <c r="BG517" s="3"/>
      <c r="BH517" s="3"/>
      <c r="BI517" s="3"/>
      <c r="BJ517" s="3"/>
      <c r="BK517" s="3"/>
      <c r="BL517" s="3"/>
      <c r="BM517" s="3"/>
      <c r="BN517" s="3" t="s">
        <v>2107</v>
      </c>
    </row>
    <row r="518" spans="2:66" ht="13" customHeight="1">
      <c r="B518" s="1401"/>
      <c r="C518" s="1402"/>
      <c r="D518" s="1402"/>
      <c r="E518" s="1402"/>
      <c r="F518" s="1402"/>
      <c r="G518" s="1402"/>
      <c r="H518" s="1403"/>
      <c r="I518" t="s">
        <v>416</v>
      </c>
      <c r="AC518" s="1391">
        <v>5</v>
      </c>
      <c r="AD518" s="1392"/>
      <c r="AE518" s="1392"/>
      <c r="AF518" s="1392"/>
      <c r="AG518" s="13" t="s">
        <v>403</v>
      </c>
      <c r="AH518" s="1429">
        <v>2025</v>
      </c>
      <c r="AI518" s="1429"/>
      <c r="AJ518" s="1429"/>
      <c r="AK518" s="1430"/>
      <c r="BB518" s="3"/>
      <c r="BC518" s="3"/>
      <c r="BD518" s="3"/>
      <c r="BE518" s="3"/>
      <c r="BF518" s="3"/>
      <c r="BG518" s="3"/>
      <c r="BH518" s="3"/>
      <c r="BI518" s="3"/>
      <c r="BJ518" s="3"/>
      <c r="BK518" s="3"/>
      <c r="BL518" s="3"/>
      <c r="BM518" s="3"/>
      <c r="BN518" s="3" t="s">
        <v>2108</v>
      </c>
    </row>
    <row r="519" spans="2:66" ht="13" customHeight="1">
      <c r="B519" s="1404"/>
      <c r="C519" s="1405"/>
      <c r="D519" s="1405"/>
      <c r="E519" s="1405"/>
      <c r="F519" s="1405"/>
      <c r="G519" s="1405"/>
      <c r="H519" s="1406"/>
      <c r="I519" s="48" t="s">
        <v>417</v>
      </c>
      <c r="J519" s="48"/>
      <c r="K519" s="48"/>
      <c r="L519" s="48"/>
      <c r="M519" s="48"/>
      <c r="N519" s="48"/>
      <c r="O519" s="48"/>
      <c r="P519" s="48"/>
      <c r="Q519" s="48"/>
      <c r="R519" s="48"/>
      <c r="S519" s="48"/>
      <c r="T519" s="48"/>
      <c r="U519" s="48"/>
      <c r="V519" s="48"/>
      <c r="W519" s="48"/>
      <c r="X519" s="48"/>
      <c r="Y519" s="48"/>
      <c r="Z519" s="48"/>
      <c r="AA519" s="48"/>
      <c r="AB519" s="48"/>
      <c r="AC519" s="1391">
        <v>10</v>
      </c>
      <c r="AD519" s="1392"/>
      <c r="AE519" s="1392"/>
      <c r="AF519" s="1392"/>
      <c r="AG519" s="38" t="s">
        <v>403</v>
      </c>
      <c r="AH519" s="1429">
        <v>2027</v>
      </c>
      <c r="AI519" s="1429"/>
      <c r="AJ519" s="1429"/>
      <c r="AK519" s="1430"/>
      <c r="BB519" s="3"/>
      <c r="BC519" s="3"/>
      <c r="BD519" s="3"/>
      <c r="BE519" s="3"/>
      <c r="BF519" s="3"/>
      <c r="BG519" s="3"/>
      <c r="BH519" s="3"/>
      <c r="BI519" s="3"/>
      <c r="BJ519" s="3"/>
      <c r="BK519" s="3"/>
      <c r="BL519" s="3"/>
      <c r="BM519" s="3"/>
      <c r="BN519" s="3" t="s">
        <v>2109</v>
      </c>
    </row>
    <row r="520" spans="2:66" ht="13" customHeight="1">
      <c r="B520" s="1398" t="s">
        <v>419</v>
      </c>
      <c r="C520" s="1399"/>
      <c r="D520" s="1399"/>
      <c r="E520" s="1399"/>
      <c r="F520" s="1399"/>
      <c r="G520" s="1399"/>
      <c r="H520" s="1400"/>
      <c r="I520" s="41" t="s">
        <v>420</v>
      </c>
      <c r="J520" s="42"/>
      <c r="K520" s="42"/>
      <c r="L520" s="42"/>
      <c r="M520" s="42"/>
      <c r="N520" s="42"/>
      <c r="O520" s="1435" t="s">
        <v>2614</v>
      </c>
      <c r="P520" s="1436"/>
      <c r="Q520" s="1436"/>
      <c r="R520" s="1436"/>
      <c r="S520" s="1436"/>
      <c r="T520" s="1436"/>
      <c r="U520" s="1436"/>
      <c r="V520" s="1436"/>
      <c r="W520" s="1436"/>
      <c r="X520" s="1436"/>
      <c r="Y520" s="1436"/>
      <c r="Z520" s="1436"/>
      <c r="AA520" s="1436"/>
      <c r="AB520" s="58"/>
      <c r="AC520" s="1357"/>
      <c r="AD520" s="1358"/>
      <c r="AE520" s="1358"/>
      <c r="AF520" s="1358"/>
      <c r="AG520" s="129" t="s">
        <v>403</v>
      </c>
      <c r="AH520" s="1429"/>
      <c r="AI520" s="1429"/>
      <c r="AJ520" s="1429"/>
      <c r="AK520" s="1430"/>
      <c r="AZ520" s="3"/>
      <c r="BB520" s="3"/>
      <c r="BC520" s="3"/>
      <c r="BD520" s="3"/>
      <c r="BE520" s="3"/>
      <c r="BF520" s="3"/>
      <c r="BG520" s="3"/>
      <c r="BH520" s="3"/>
      <c r="BI520" s="3"/>
      <c r="BJ520" s="3"/>
      <c r="BK520" s="3"/>
      <c r="BL520" s="3"/>
      <c r="BM520" s="3"/>
      <c r="BN520" s="3" t="s">
        <v>2110</v>
      </c>
    </row>
    <row r="521" spans="2:66" ht="13" customHeight="1">
      <c r="B521" s="1401"/>
      <c r="C521" s="1402"/>
      <c r="D521" s="1402"/>
      <c r="E521" s="1402"/>
      <c r="F521" s="1402"/>
      <c r="G521" s="1402"/>
      <c r="H521" s="1403"/>
      <c r="I521" s="114" t="s">
        <v>421</v>
      </c>
      <c r="AB521" s="65"/>
      <c r="AC521" s="1391">
        <v>6</v>
      </c>
      <c r="AD521" s="1392"/>
      <c r="AE521" s="1392"/>
      <c r="AF521" s="1392"/>
      <c r="AG521" s="13" t="s">
        <v>403</v>
      </c>
      <c r="AH521" s="1429">
        <v>2023</v>
      </c>
      <c r="AI521" s="1429"/>
      <c r="AJ521" s="1429"/>
      <c r="AK521" s="1430"/>
      <c r="AZ521" s="3"/>
      <c r="BB521" s="3"/>
      <c r="BC521" s="3"/>
      <c r="BD521" s="3"/>
      <c r="BE521" s="3"/>
      <c r="BF521" s="3"/>
      <c r="BG521" s="3"/>
      <c r="BH521" s="3"/>
      <c r="BI521" s="3"/>
      <c r="BJ521" s="3"/>
      <c r="BK521" s="3"/>
      <c r="BL521" s="3"/>
      <c r="BM521" s="3"/>
      <c r="BN521" s="3" t="s">
        <v>2111</v>
      </c>
    </row>
    <row r="522" spans="2:66" ht="13" customHeight="1">
      <c r="B522" s="1401"/>
      <c r="C522" s="1402"/>
      <c r="D522" s="1402"/>
      <c r="E522" s="1402"/>
      <c r="F522" s="1402"/>
      <c r="G522" s="1402"/>
      <c r="H522" s="1403"/>
      <c r="I522" s="47" t="s">
        <v>422</v>
      </c>
      <c r="J522" s="48"/>
      <c r="K522" s="48"/>
      <c r="L522" s="48"/>
      <c r="M522" s="48"/>
      <c r="N522" s="48"/>
      <c r="O522" s="48"/>
      <c r="P522" s="48"/>
      <c r="Q522" s="48"/>
      <c r="R522" s="48"/>
      <c r="S522" s="48"/>
      <c r="T522" s="48"/>
      <c r="U522" s="48"/>
      <c r="V522" s="48"/>
      <c r="W522" s="48"/>
      <c r="X522" s="48"/>
      <c r="Y522" s="48"/>
      <c r="Z522" s="48"/>
      <c r="AA522" s="48"/>
      <c r="AB522" s="49"/>
      <c r="AC522" s="1391">
        <v>3</v>
      </c>
      <c r="AD522" s="1392"/>
      <c r="AE522" s="1392"/>
      <c r="AF522" s="1392"/>
      <c r="AG522" s="38" t="s">
        <v>403</v>
      </c>
      <c r="AH522" s="1429">
        <v>2024</v>
      </c>
      <c r="AI522" s="1429"/>
      <c r="AJ522" s="1429"/>
      <c r="AK522" s="1430"/>
      <c r="AZ522" s="3"/>
      <c r="BA522" s="3"/>
      <c r="BB522" s="3"/>
      <c r="BC522" s="3"/>
      <c r="BD522" s="3"/>
      <c r="BE522" s="3"/>
      <c r="BF522" s="3"/>
      <c r="BG522" s="3"/>
      <c r="BH522" s="3"/>
      <c r="BI522" s="3"/>
      <c r="BJ522" s="3"/>
      <c r="BK522" s="3"/>
      <c r="BL522" s="3"/>
      <c r="BM522" s="3"/>
      <c r="BN522" s="3" t="s">
        <v>2112</v>
      </c>
    </row>
    <row r="523" spans="2:66" ht="13" customHeight="1">
      <c r="B523" s="1401"/>
      <c r="C523" s="1402"/>
      <c r="D523" s="1402"/>
      <c r="E523" s="1402"/>
      <c r="F523" s="1402"/>
      <c r="G523" s="1402"/>
      <c r="H523" s="1403"/>
      <c r="I523" s="42" t="s">
        <v>423</v>
      </c>
      <c r="J523" s="42"/>
      <c r="K523" s="42"/>
      <c r="L523" s="42"/>
      <c r="M523" s="42"/>
      <c r="N523" s="42"/>
      <c r="O523" s="1435" t="s">
        <v>2692</v>
      </c>
      <c r="P523" s="1436"/>
      <c r="Q523" s="1436"/>
      <c r="R523" s="1436"/>
      <c r="S523" s="1436"/>
      <c r="T523" s="1436"/>
      <c r="U523" s="1436"/>
      <c r="V523" s="1436"/>
      <c r="W523" s="1436"/>
      <c r="X523" s="1436"/>
      <c r="Y523" s="1436"/>
      <c r="Z523" s="1436"/>
      <c r="AA523" s="1436"/>
      <c r="AC523" s="1391"/>
      <c r="AD523" s="1392"/>
      <c r="AE523" s="1392"/>
      <c r="AF523" s="1392"/>
      <c r="AG523" s="13" t="s">
        <v>403</v>
      </c>
      <c r="AH523" s="1429"/>
      <c r="AI523" s="1429"/>
      <c r="AJ523" s="1429"/>
      <c r="AK523" s="1430"/>
      <c r="AZ523" s="3"/>
      <c r="BA523" s="3"/>
      <c r="BB523" s="3"/>
      <c r="BC523" s="3"/>
      <c r="BD523" s="3"/>
      <c r="BE523" s="3"/>
      <c r="BF523" s="3"/>
      <c r="BG523" s="3"/>
      <c r="BH523" s="3"/>
      <c r="BI523" s="3"/>
      <c r="BJ523" s="3"/>
      <c r="BK523" s="3"/>
      <c r="BL523" s="3"/>
      <c r="BM523" s="3"/>
      <c r="BN523" s="3" t="s">
        <v>2113</v>
      </c>
    </row>
    <row r="524" spans="2:66" ht="13" customHeight="1">
      <c r="B524" s="1401"/>
      <c r="C524" s="1402"/>
      <c r="D524" s="1402"/>
      <c r="E524" s="1402"/>
      <c r="F524" s="1402"/>
      <c r="G524" s="1402"/>
      <c r="H524" s="1403"/>
      <c r="I524" t="s">
        <v>421</v>
      </c>
      <c r="AC524" s="1391">
        <v>8</v>
      </c>
      <c r="AD524" s="1392"/>
      <c r="AE524" s="1392"/>
      <c r="AF524" s="1392"/>
      <c r="AG524" s="13" t="s">
        <v>403</v>
      </c>
      <c r="AH524" s="1429">
        <v>2023</v>
      </c>
      <c r="AI524" s="1429"/>
      <c r="AJ524" s="1429"/>
      <c r="AK524" s="1430"/>
      <c r="AZ524" s="3"/>
      <c r="BA524" s="3"/>
      <c r="BB524" s="3"/>
      <c r="BC524" s="3"/>
      <c r="BD524" s="3"/>
      <c r="BE524" s="3"/>
      <c r="BF524" s="3"/>
      <c r="BG524" s="3"/>
      <c r="BH524" s="3"/>
      <c r="BI524" s="3"/>
      <c r="BJ524" s="3"/>
      <c r="BK524" s="3"/>
      <c r="BL524" s="3"/>
      <c r="BM524" s="3"/>
      <c r="BN524" s="3" t="s">
        <v>2114</v>
      </c>
    </row>
    <row r="525" spans="2:66" ht="13" customHeight="1">
      <c r="B525" s="1401"/>
      <c r="C525" s="1402"/>
      <c r="D525" s="1402"/>
      <c r="E525" s="1402"/>
      <c r="F525" s="1402"/>
      <c r="G525" s="1402"/>
      <c r="H525" s="1403"/>
      <c r="I525" s="48" t="s">
        <v>422</v>
      </c>
      <c r="J525" s="48"/>
      <c r="K525" s="48"/>
      <c r="L525" s="48"/>
      <c r="M525" s="48"/>
      <c r="N525" s="48"/>
      <c r="O525" s="48"/>
      <c r="P525" s="48"/>
      <c r="Q525" s="48"/>
      <c r="R525" s="48"/>
      <c r="S525" s="48"/>
      <c r="T525" s="48"/>
      <c r="U525" s="48"/>
      <c r="V525" s="48"/>
      <c r="W525" s="48"/>
      <c r="X525" s="48"/>
      <c r="Y525" s="48"/>
      <c r="Z525" s="48"/>
      <c r="AA525" s="48"/>
      <c r="AB525" s="48"/>
      <c r="AC525" s="1391">
        <v>11</v>
      </c>
      <c r="AD525" s="1392"/>
      <c r="AE525" s="1392"/>
      <c r="AF525" s="1392"/>
      <c r="AG525" s="38" t="s">
        <v>403</v>
      </c>
      <c r="AH525" s="1429">
        <v>2023</v>
      </c>
      <c r="AI525" s="1429"/>
      <c r="AJ525" s="1429"/>
      <c r="AK525" s="1430"/>
      <c r="AZ525" s="3"/>
      <c r="BA525" s="3"/>
      <c r="BB525" s="3"/>
      <c r="BC525" s="3"/>
      <c r="BD525" s="3"/>
      <c r="BE525" s="3"/>
      <c r="BF525" s="3"/>
      <c r="BG525" s="3"/>
      <c r="BH525" s="3"/>
      <c r="BI525" s="3"/>
      <c r="BJ525" s="3"/>
      <c r="BK525" s="3"/>
      <c r="BL525" s="3"/>
      <c r="BM525" s="3"/>
      <c r="BN525" s="3" t="s">
        <v>2115</v>
      </c>
    </row>
    <row r="526" spans="2:66" ht="13" customHeight="1">
      <c r="B526" s="1401"/>
      <c r="C526" s="1402"/>
      <c r="D526" s="1402"/>
      <c r="E526" s="1402"/>
      <c r="F526" s="1402"/>
      <c r="G526" s="1402"/>
      <c r="H526" s="1403"/>
      <c r="I526" s="42" t="s">
        <v>423</v>
      </c>
      <c r="J526" s="42"/>
      <c r="K526" s="42"/>
      <c r="L526" s="42"/>
      <c r="M526" s="42"/>
      <c r="N526" s="42"/>
      <c r="O526" s="1435" t="s">
        <v>334</v>
      </c>
      <c r="P526" s="1436"/>
      <c r="Q526" s="1436"/>
      <c r="R526" s="1436"/>
      <c r="S526" s="1436"/>
      <c r="T526" s="1436"/>
      <c r="U526" s="1436"/>
      <c r="V526" s="1436"/>
      <c r="W526" s="1436"/>
      <c r="X526" s="1436"/>
      <c r="Y526" s="1436"/>
      <c r="Z526" s="1436"/>
      <c r="AA526" s="1436"/>
      <c r="AC526" s="1391" t="s">
        <v>591</v>
      </c>
      <c r="AD526" s="1392"/>
      <c r="AE526" s="1392"/>
      <c r="AF526" s="1392"/>
      <c r="AG526" s="13" t="s">
        <v>403</v>
      </c>
      <c r="AH526" s="1429"/>
      <c r="AI526" s="1429"/>
      <c r="AJ526" s="1429"/>
      <c r="AK526" s="1430"/>
      <c r="AZ526" s="3"/>
      <c r="BA526" s="3"/>
      <c r="BB526" s="3"/>
      <c r="BC526" s="3"/>
      <c r="BD526" s="3"/>
      <c r="BE526" s="3"/>
      <c r="BF526" s="3"/>
      <c r="BG526" s="3"/>
      <c r="BH526" s="3"/>
      <c r="BI526" s="3"/>
      <c r="BJ526" s="3"/>
      <c r="BK526" s="3"/>
      <c r="BL526" s="3"/>
      <c r="BM526" s="3"/>
      <c r="BN526" s="3" t="s">
        <v>2116</v>
      </c>
    </row>
    <row r="527" spans="2:66" ht="13" customHeight="1">
      <c r="B527" s="1401"/>
      <c r="C527" s="1402"/>
      <c r="D527" s="1402"/>
      <c r="E527" s="1402"/>
      <c r="F527" s="1402"/>
      <c r="G527" s="1402"/>
      <c r="H527" s="1403"/>
      <c r="I527" t="s">
        <v>421</v>
      </c>
      <c r="AC527" s="1391" t="s">
        <v>591</v>
      </c>
      <c r="AD527" s="1392"/>
      <c r="AE527" s="1392"/>
      <c r="AF527" s="1392"/>
      <c r="AG527" s="13" t="s">
        <v>403</v>
      </c>
      <c r="AH527" s="1429"/>
      <c r="AI527" s="1429"/>
      <c r="AJ527" s="1429"/>
      <c r="AK527" s="1430"/>
      <c r="AZ527" s="3"/>
      <c r="BA527" s="3"/>
      <c r="BB527" s="3"/>
      <c r="BC527" s="3"/>
      <c r="BD527" s="3"/>
      <c r="BE527" s="3"/>
      <c r="BF527" s="3"/>
      <c r="BG527" s="3"/>
      <c r="BH527" s="3"/>
      <c r="BI527" s="3"/>
      <c r="BJ527" s="3"/>
      <c r="BK527" s="3"/>
      <c r="BL527" s="3"/>
      <c r="BM527" s="3"/>
      <c r="BN527" s="3" t="s">
        <v>2117</v>
      </c>
    </row>
    <row r="528" spans="2:66" ht="13" customHeight="1">
      <c r="B528" s="1401"/>
      <c r="C528" s="1402"/>
      <c r="D528" s="1402"/>
      <c r="E528" s="1402"/>
      <c r="F528" s="1402"/>
      <c r="G528" s="1402"/>
      <c r="H528" s="1403"/>
      <c r="I528" s="48" t="s">
        <v>422</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403</v>
      </c>
      <c r="AH528" s="1429"/>
      <c r="AI528" s="1429"/>
      <c r="AJ528" s="1429"/>
      <c r="AK528" s="1430"/>
      <c r="AZ528" s="3"/>
      <c r="BA528" s="3"/>
      <c r="BB528" s="3"/>
      <c r="BC528" s="3"/>
      <c r="BD528" s="3"/>
      <c r="BE528" s="3"/>
      <c r="BF528" s="3"/>
      <c r="BG528" s="3"/>
      <c r="BH528" s="3"/>
      <c r="BI528" s="3"/>
      <c r="BJ528" s="3"/>
      <c r="BK528" s="3"/>
      <c r="BL528" s="3"/>
      <c r="BM528" s="3"/>
      <c r="BN528" s="3" t="s">
        <v>2118</v>
      </c>
    </row>
    <row r="529" spans="1:66" ht="13" customHeight="1">
      <c r="B529" s="1401"/>
      <c r="C529" s="1402"/>
      <c r="D529" s="1402"/>
      <c r="E529" s="1402"/>
      <c r="F529" s="1402"/>
      <c r="G529" s="1402"/>
      <c r="H529" s="1403"/>
      <c r="I529" s="42" t="s">
        <v>423</v>
      </c>
      <c r="J529" s="42"/>
      <c r="K529" s="42"/>
      <c r="L529" s="42"/>
      <c r="M529" s="42"/>
      <c r="N529" s="42"/>
      <c r="O529" s="1435" t="s">
        <v>334</v>
      </c>
      <c r="P529" s="1436"/>
      <c r="Q529" s="1436"/>
      <c r="R529" s="1436"/>
      <c r="S529" s="1436"/>
      <c r="T529" s="1436"/>
      <c r="U529" s="1436"/>
      <c r="V529" s="1436"/>
      <c r="W529" s="1436"/>
      <c r="X529" s="1436"/>
      <c r="Y529" s="1436"/>
      <c r="Z529" s="1436"/>
      <c r="AA529" s="1436"/>
      <c r="AC529" s="1391" t="s">
        <v>591</v>
      </c>
      <c r="AD529" s="1392"/>
      <c r="AE529" s="1392"/>
      <c r="AF529" s="1392"/>
      <c r="AG529" s="13" t="s">
        <v>403</v>
      </c>
      <c r="AH529" s="1429"/>
      <c r="AI529" s="1429"/>
      <c r="AJ529" s="1429"/>
      <c r="AK529" s="1430"/>
      <c r="AZ529" s="3"/>
      <c r="BA529" s="3"/>
      <c r="BB529" s="3"/>
      <c r="BC529" s="3"/>
      <c r="BD529" s="3"/>
      <c r="BE529" s="3"/>
      <c r="BF529" s="3"/>
      <c r="BG529" s="3"/>
      <c r="BH529" s="3"/>
      <c r="BI529" s="3"/>
      <c r="BJ529" s="3"/>
      <c r="BK529" s="3"/>
      <c r="BL529" s="3"/>
      <c r="BM529" s="3"/>
      <c r="BN529" s="3" t="s">
        <v>2119</v>
      </c>
    </row>
    <row r="530" spans="1:66" ht="13" customHeight="1">
      <c r="B530" s="1401"/>
      <c r="C530" s="1402"/>
      <c r="D530" s="1402"/>
      <c r="E530" s="1402"/>
      <c r="F530" s="1402"/>
      <c r="G530" s="1402"/>
      <c r="H530" s="1403"/>
      <c r="I530" t="s">
        <v>421</v>
      </c>
      <c r="AC530" s="1391" t="s">
        <v>591</v>
      </c>
      <c r="AD530" s="1392"/>
      <c r="AE530" s="1392"/>
      <c r="AF530" s="1392"/>
      <c r="AG530" s="13" t="s">
        <v>403</v>
      </c>
      <c r="AH530" s="1429"/>
      <c r="AI530" s="1429"/>
      <c r="AJ530" s="1429"/>
      <c r="AK530" s="1430"/>
      <c r="AZ530" s="3"/>
      <c r="BA530" s="3"/>
      <c r="BB530" s="3"/>
      <c r="BC530" s="3"/>
      <c r="BD530" s="3"/>
      <c r="BE530" s="3"/>
      <c r="BF530" s="3"/>
      <c r="BG530" s="3"/>
      <c r="BH530" s="3"/>
      <c r="BI530" s="3"/>
      <c r="BJ530" s="3"/>
      <c r="BK530" s="3"/>
      <c r="BL530" s="3"/>
      <c r="BM530" s="3"/>
      <c r="BN530" s="3" t="s">
        <v>2120</v>
      </c>
    </row>
    <row r="531" spans="1:66" ht="13" customHeight="1">
      <c r="B531" s="1401"/>
      <c r="C531" s="1402"/>
      <c r="D531" s="1402"/>
      <c r="E531" s="1402"/>
      <c r="F531" s="1402"/>
      <c r="G531" s="1402"/>
      <c r="H531" s="1403"/>
      <c r="I531" s="48" t="s">
        <v>422</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403</v>
      </c>
      <c r="AH531" s="1429"/>
      <c r="AI531" s="1429"/>
      <c r="AJ531" s="1429"/>
      <c r="AK531" s="1430"/>
      <c r="AZ531" s="3"/>
      <c r="BA531" s="3"/>
      <c r="BB531" s="3"/>
      <c r="BC531" s="3"/>
      <c r="BD531" s="3"/>
      <c r="BE531" s="3"/>
      <c r="BF531" s="3"/>
      <c r="BG531" s="3"/>
      <c r="BH531" s="3"/>
      <c r="BI531" s="3"/>
      <c r="BJ531" s="3"/>
      <c r="BK531" s="3"/>
      <c r="BL531" s="3"/>
      <c r="BM531" s="3"/>
      <c r="BN531" s="3" t="s">
        <v>2121</v>
      </c>
    </row>
    <row r="532" spans="1:66" ht="13" customHeight="1">
      <c r="B532" s="1401"/>
      <c r="C532" s="1402"/>
      <c r="D532" s="1402"/>
      <c r="E532" s="1402"/>
      <c r="F532" s="1402"/>
      <c r="G532" s="1402"/>
      <c r="H532" s="1403"/>
      <c r="I532" s="42" t="s">
        <v>423</v>
      </c>
      <c r="J532" s="42"/>
      <c r="K532" s="42"/>
      <c r="L532" s="42"/>
      <c r="M532" s="42"/>
      <c r="N532" s="42"/>
      <c r="O532" s="1435" t="s">
        <v>334</v>
      </c>
      <c r="P532" s="1436"/>
      <c r="Q532" s="1436"/>
      <c r="R532" s="1436"/>
      <c r="S532" s="1436"/>
      <c r="T532" s="1436"/>
      <c r="U532" s="1436"/>
      <c r="V532" s="1436"/>
      <c r="W532" s="1436"/>
      <c r="X532" s="1436"/>
      <c r="Y532" s="1436"/>
      <c r="Z532" s="1436"/>
      <c r="AA532" s="1436"/>
      <c r="AC532" s="1391" t="s">
        <v>591</v>
      </c>
      <c r="AD532" s="1392"/>
      <c r="AE532" s="1392"/>
      <c r="AF532" s="1392"/>
      <c r="AG532" s="13" t="s">
        <v>403</v>
      </c>
      <c r="AH532" s="1429"/>
      <c r="AI532" s="1429"/>
      <c r="AJ532" s="1429"/>
      <c r="AK532" s="1430"/>
      <c r="AZ532" s="3"/>
      <c r="BA532" s="3"/>
      <c r="BB532" s="3"/>
      <c r="BC532" s="3"/>
      <c r="BD532" s="3"/>
      <c r="BE532" s="3"/>
      <c r="BF532" s="3"/>
      <c r="BG532" s="3"/>
      <c r="BH532" s="3"/>
      <c r="BI532" s="3"/>
      <c r="BJ532" s="3"/>
      <c r="BK532" s="3"/>
      <c r="BL532" s="3"/>
      <c r="BM532" s="3"/>
      <c r="BN532" s="3" t="s">
        <v>2122</v>
      </c>
    </row>
    <row r="533" spans="1:66" ht="13" customHeight="1">
      <c r="B533" s="1401"/>
      <c r="C533" s="1402"/>
      <c r="D533" s="1402"/>
      <c r="E533" s="1402"/>
      <c r="F533" s="1402"/>
      <c r="G533" s="1402"/>
      <c r="H533" s="1403"/>
      <c r="I533" t="s">
        <v>421</v>
      </c>
      <c r="AC533" s="1391" t="s">
        <v>591</v>
      </c>
      <c r="AD533" s="1392"/>
      <c r="AE533" s="1392"/>
      <c r="AF533" s="1392"/>
      <c r="AG533" s="38" t="s">
        <v>403</v>
      </c>
      <c r="AH533" s="1429"/>
      <c r="AI533" s="1429"/>
      <c r="AJ533" s="1429"/>
      <c r="AK533" s="1430"/>
      <c r="AZ533" s="3"/>
      <c r="BA533" s="3"/>
      <c r="BB533" s="3"/>
      <c r="BC533" s="3"/>
      <c r="BD533" s="3"/>
      <c r="BE533" s="3"/>
      <c r="BF533" s="3"/>
      <c r="BG533" s="3"/>
      <c r="BH533" s="3"/>
      <c r="BI533" s="3"/>
      <c r="BJ533" s="3"/>
      <c r="BK533" s="3"/>
      <c r="BL533" s="3"/>
      <c r="BM533" s="3"/>
      <c r="BN533" s="3" t="s">
        <v>2123</v>
      </c>
    </row>
    <row r="534" spans="1:66" ht="13" customHeight="1">
      <c r="B534" s="1401"/>
      <c r="C534" s="1402"/>
      <c r="D534" s="1402"/>
      <c r="E534" s="1402"/>
      <c r="F534" s="1402"/>
      <c r="G534" s="1402"/>
      <c r="H534" s="1403"/>
      <c r="I534" s="48" t="s">
        <v>422</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403</v>
      </c>
      <c r="AH534" s="1429"/>
      <c r="AI534" s="1429"/>
      <c r="AJ534" s="1429"/>
      <c r="AK534" s="1430"/>
      <c r="AZ534" s="3"/>
      <c r="BA534" s="3"/>
      <c r="BB534" s="3"/>
      <c r="BC534" s="3"/>
      <c r="BD534" s="3"/>
      <c r="BE534" s="3"/>
      <c r="BF534" s="3"/>
      <c r="BG534" s="3"/>
      <c r="BH534" s="3"/>
      <c r="BI534" s="3"/>
      <c r="BJ534" s="3"/>
      <c r="BK534" s="3"/>
      <c r="BL534" s="3"/>
      <c r="BM534" s="3"/>
      <c r="BN534" s="3" t="s">
        <v>2124</v>
      </c>
    </row>
    <row r="535" spans="1:66" ht="13" customHeight="1">
      <c r="B535" s="1401"/>
      <c r="C535" s="1402"/>
      <c r="D535" s="1402"/>
      <c r="E535" s="1402"/>
      <c r="F535" s="1402"/>
      <c r="G535" s="1402"/>
      <c r="H535" s="1403"/>
      <c r="I535" s="42" t="s">
        <v>423</v>
      </c>
      <c r="J535" s="42"/>
      <c r="K535" s="42"/>
      <c r="L535" s="42"/>
      <c r="M535" s="42"/>
      <c r="N535" s="42"/>
      <c r="O535" s="1435" t="s">
        <v>334</v>
      </c>
      <c r="P535" s="1436"/>
      <c r="Q535" s="1436"/>
      <c r="R535" s="1436"/>
      <c r="S535" s="1436"/>
      <c r="T535" s="1436"/>
      <c r="U535" s="1436"/>
      <c r="V535" s="1436"/>
      <c r="W535" s="1436"/>
      <c r="X535" s="1436"/>
      <c r="Y535" s="1436"/>
      <c r="Z535" s="1436"/>
      <c r="AA535" s="1436"/>
      <c r="AC535" s="1391" t="s">
        <v>591</v>
      </c>
      <c r="AD535" s="1392"/>
      <c r="AE535" s="1392"/>
      <c r="AF535" s="1392"/>
      <c r="AG535" s="38" t="s">
        <v>403</v>
      </c>
      <c r="AH535" s="1429"/>
      <c r="AI535" s="1429"/>
      <c r="AJ535" s="1429"/>
      <c r="AK535" s="1430"/>
      <c r="AZ535" s="3"/>
      <c r="BA535" s="3"/>
      <c r="BB535" s="3"/>
      <c r="BC535" s="3"/>
      <c r="BD535" s="3"/>
      <c r="BE535" s="3"/>
      <c r="BF535" s="3"/>
      <c r="BG535" s="3"/>
      <c r="BH535" s="3"/>
      <c r="BI535" s="3"/>
      <c r="BJ535" s="3"/>
      <c r="BK535" s="3"/>
      <c r="BL535" s="3"/>
      <c r="BM535" s="3"/>
      <c r="BN535" s="3" t="s">
        <v>2125</v>
      </c>
    </row>
    <row r="536" spans="1:66" ht="13" customHeight="1">
      <c r="B536" s="1401"/>
      <c r="C536" s="1402"/>
      <c r="D536" s="1402"/>
      <c r="E536" s="1402"/>
      <c r="F536" s="1402"/>
      <c r="G536" s="1402"/>
      <c r="H536" s="1403"/>
      <c r="I536" t="s">
        <v>421</v>
      </c>
      <c r="AC536" s="1391" t="s">
        <v>591</v>
      </c>
      <c r="AD536" s="1392"/>
      <c r="AE536" s="1392"/>
      <c r="AF536" s="1392"/>
      <c r="AG536" s="13" t="s">
        <v>403</v>
      </c>
      <c r="AH536" s="1429"/>
      <c r="AI536" s="1429"/>
      <c r="AJ536" s="1429"/>
      <c r="AK536" s="1430"/>
      <c r="AZ536" s="3"/>
      <c r="BA536" s="3"/>
      <c r="BB536" s="3"/>
      <c r="BC536" s="3"/>
      <c r="BD536" s="3"/>
      <c r="BE536" s="3"/>
      <c r="BF536" s="3"/>
      <c r="BG536" s="3"/>
      <c r="BH536" s="3"/>
      <c r="BI536" s="3"/>
      <c r="BJ536" s="3"/>
      <c r="BK536" s="3"/>
      <c r="BL536" s="3"/>
      <c r="BM536" s="3"/>
      <c r="BN536" s="3" t="s">
        <v>2126</v>
      </c>
    </row>
    <row r="537" spans="1:66" ht="13" customHeight="1">
      <c r="B537" s="1401"/>
      <c r="C537" s="1402"/>
      <c r="D537" s="1402"/>
      <c r="E537" s="1402"/>
      <c r="F537" s="1402"/>
      <c r="G537" s="1402"/>
      <c r="H537" s="1403"/>
      <c r="I537" s="48" t="s">
        <v>422</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403</v>
      </c>
      <c r="AH537" s="1429"/>
      <c r="AI537" s="1429"/>
      <c r="AJ537" s="1429"/>
      <c r="AK537" s="1430"/>
      <c r="AZ537" s="3"/>
      <c r="BA537" s="3"/>
      <c r="BB537" s="3"/>
      <c r="BC537" s="3"/>
      <c r="BD537" s="3"/>
      <c r="BE537" s="3"/>
      <c r="BF537" s="3"/>
      <c r="BG537" s="3"/>
      <c r="BH537" s="3"/>
      <c r="BI537" s="3"/>
      <c r="BJ537" s="3"/>
      <c r="BK537" s="3"/>
      <c r="BL537" s="3"/>
      <c r="BM537" s="3"/>
      <c r="BN537" s="3" t="s">
        <v>2127</v>
      </c>
    </row>
    <row r="538" spans="1:66" ht="13"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t="s">
        <v>591</v>
      </c>
      <c r="AD538" s="1392"/>
      <c r="AE538" s="1392"/>
      <c r="AF538" s="1392"/>
      <c r="AG538" s="38" t="s">
        <v>403</v>
      </c>
      <c r="AH538" s="1429"/>
      <c r="AI538" s="1429"/>
      <c r="AJ538" s="1429"/>
      <c r="AK538" s="1430"/>
      <c r="AZ538" s="3"/>
      <c r="BA538" s="3"/>
      <c r="BB538" s="3"/>
      <c r="BC538" s="3"/>
      <c r="BD538" s="3"/>
      <c r="BE538" s="3"/>
      <c r="BF538" s="3"/>
      <c r="BG538" s="3"/>
      <c r="BH538" s="3"/>
      <c r="BI538" s="3"/>
      <c r="BJ538" s="3"/>
      <c r="BK538" s="3"/>
      <c r="BL538" s="3"/>
      <c r="BM538" s="3"/>
      <c r="BN538" s="3"/>
    </row>
    <row r="539" spans="1:66" ht="13" customHeight="1">
      <c r="B539" s="1401"/>
      <c r="C539" s="1402"/>
      <c r="D539" s="1402"/>
      <c r="E539" s="1402"/>
      <c r="F539" s="1402"/>
      <c r="G539" s="1402"/>
      <c r="H539" s="1403"/>
      <c r="I539" t="s">
        <v>563</v>
      </c>
      <c r="AC539" s="1391">
        <v>2</v>
      </c>
      <c r="AD539" s="1392"/>
      <c r="AE539" s="1392"/>
      <c r="AF539" s="1392"/>
      <c r="AG539" s="13" t="s">
        <v>403</v>
      </c>
      <c r="AH539" s="1429">
        <v>2026</v>
      </c>
      <c r="AI539" s="1429"/>
      <c r="AJ539" s="1429"/>
      <c r="AK539" s="1430"/>
      <c r="AZ539" s="3"/>
      <c r="BA539" s="3"/>
      <c r="BB539" s="3"/>
      <c r="BC539" s="3"/>
      <c r="BD539" s="3"/>
      <c r="BE539" s="3"/>
      <c r="BF539" s="3"/>
      <c r="BG539" s="3"/>
      <c r="BH539" s="3"/>
      <c r="BI539" s="3"/>
      <c r="BJ539" s="3"/>
      <c r="BK539" s="3"/>
      <c r="BL539" s="3"/>
      <c r="BM539" s="3"/>
      <c r="BN539" s="3"/>
    </row>
    <row r="540" spans="1:66" ht="13" customHeight="1">
      <c r="B540" s="1401"/>
      <c r="C540" s="1402"/>
      <c r="D540" s="1402"/>
      <c r="E540" s="1402"/>
      <c r="F540" s="1402"/>
      <c r="G540" s="1402"/>
      <c r="H540" s="1403"/>
      <c r="I540" t="s">
        <v>564</v>
      </c>
      <c r="AC540" s="1391">
        <v>11</v>
      </c>
      <c r="AD540" s="1392"/>
      <c r="AE540" s="1392"/>
      <c r="AF540" s="1392"/>
      <c r="AG540" s="38" t="s">
        <v>403</v>
      </c>
      <c r="AH540" s="1429">
        <v>2027</v>
      </c>
      <c r="AI540" s="1429"/>
      <c r="AJ540" s="1429"/>
      <c r="AK540" s="1430"/>
      <c r="AZ540" s="3"/>
      <c r="BA540" s="3"/>
      <c r="BB540" s="3"/>
      <c r="BC540" s="3"/>
      <c r="BD540" s="3"/>
      <c r="BE540" s="3"/>
      <c r="BF540" s="3"/>
      <c r="BG540" s="3"/>
      <c r="BH540" s="3"/>
      <c r="BI540" s="3"/>
      <c r="BJ540" s="3"/>
      <c r="BK540" s="3"/>
      <c r="BL540" s="3"/>
      <c r="BM540" s="3"/>
      <c r="BN540" s="3"/>
    </row>
    <row r="541" spans="1:66" ht="13" customHeight="1">
      <c r="B541" s="1401"/>
      <c r="C541" s="1402"/>
      <c r="D541" s="1402"/>
      <c r="E541" s="1402"/>
      <c r="F541" s="1402"/>
      <c r="G541" s="1402"/>
      <c r="H541" s="1403"/>
      <c r="I541" t="s">
        <v>565</v>
      </c>
      <c r="AC541" s="1391">
        <v>2</v>
      </c>
      <c r="AD541" s="1392"/>
      <c r="AE541" s="1392"/>
      <c r="AF541" s="1392"/>
      <c r="AG541" s="38" t="s">
        <v>403</v>
      </c>
      <c r="AH541" s="1429">
        <v>2028</v>
      </c>
      <c r="AI541" s="1429"/>
      <c r="AJ541" s="1429"/>
      <c r="AK541" s="1430"/>
      <c r="AZ541" s="3"/>
      <c r="BA541" s="3"/>
      <c r="BB541" s="3"/>
      <c r="BC541" s="3"/>
      <c r="BD541" s="3"/>
      <c r="BE541" s="3"/>
      <c r="BF541" s="3"/>
      <c r="BG541" s="3"/>
      <c r="BH541" s="3"/>
      <c r="BI541" s="3"/>
      <c r="BJ541" s="3"/>
      <c r="BK541" s="3"/>
      <c r="BL541" s="3"/>
      <c r="BM541" s="3"/>
      <c r="BN541" s="3"/>
    </row>
    <row r="542" spans="1:66" ht="13"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5</v>
      </c>
      <c r="AD542" s="1392"/>
      <c r="AE542" s="1392"/>
      <c r="AF542" s="1392"/>
      <c r="AG542" s="38" t="s">
        <v>403</v>
      </c>
      <c r="AH542" s="1429">
        <v>2028</v>
      </c>
      <c r="AI542" s="1429"/>
      <c r="AJ542" s="1429"/>
      <c r="AK542" s="1430"/>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2099</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8" t="s">
        <v>2101</v>
      </c>
      <c r="C551" s="1399"/>
      <c r="D551" s="1399"/>
      <c r="E551" s="1399"/>
      <c r="F551" s="1399"/>
      <c r="G551" s="1399"/>
      <c r="H551" s="1399"/>
      <c r="I551" s="1399"/>
      <c r="J551" s="1399"/>
      <c r="K551" s="1399"/>
      <c r="L551" s="1400"/>
      <c r="M551" s="1398" t="s">
        <v>2102</v>
      </c>
      <c r="N551" s="1399"/>
      <c r="O551" s="1399"/>
      <c r="P551" s="1400"/>
      <c r="Q551" s="1398" t="s">
        <v>2128</v>
      </c>
      <c r="R551" s="1399"/>
      <c r="S551" s="1400"/>
      <c r="T551" s="1398" t="s">
        <v>2129</v>
      </c>
      <c r="U551" s="1399"/>
      <c r="V551" s="1400"/>
      <c r="W551" s="1398" t="s">
        <v>453</v>
      </c>
      <c r="X551" s="1399"/>
      <c r="Y551" s="1400"/>
      <c r="Z551" s="1398" t="s">
        <v>1850</v>
      </c>
      <c r="AA551" s="1399"/>
      <c r="AB551" s="1399"/>
      <c r="AC551" s="1399"/>
      <c r="AD551" s="1400"/>
      <c r="AE551" s="1398" t="s">
        <v>1675</v>
      </c>
      <c r="AF551" s="1399"/>
      <c r="AG551" s="1399"/>
      <c r="AH551" s="1400"/>
      <c r="AI551" s="1398" t="s">
        <v>1676</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Yes</v>
      </c>
    </row>
    <row r="552" spans="1:61" ht="13"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3"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3" customHeight="1">
      <c r="B554" s="51" t="s">
        <v>112</v>
      </c>
      <c r="C554" s="1441" t="s">
        <v>2713</v>
      </c>
      <c r="D554" s="1441"/>
      <c r="E554" s="1441"/>
      <c r="F554" s="1441"/>
      <c r="G554" s="1441"/>
      <c r="H554" s="1441"/>
      <c r="I554" s="1441"/>
      <c r="J554" s="1441"/>
      <c r="K554" s="1441"/>
      <c r="L554" s="1441"/>
      <c r="M554" s="1441" t="s">
        <v>2118</v>
      </c>
      <c r="N554" s="1441"/>
      <c r="O554" s="1441"/>
      <c r="P554" s="1441"/>
      <c r="Q554" s="1427">
        <v>24</v>
      </c>
      <c r="R554" s="1427"/>
      <c r="S554" s="1428"/>
      <c r="T554" s="1426"/>
      <c r="U554" s="1427"/>
      <c r="V554" s="1428"/>
      <c r="W554" s="1423">
        <v>0.06</v>
      </c>
      <c r="X554" s="1424"/>
      <c r="Y554" s="1425"/>
      <c r="Z554" s="1432" t="s">
        <v>2715</v>
      </c>
      <c r="AA554" s="1432"/>
      <c r="AB554" s="1432"/>
      <c r="AC554" s="1432"/>
      <c r="AD554" s="1432"/>
      <c r="AE554" s="1414">
        <v>1</v>
      </c>
      <c r="AF554" s="1415"/>
      <c r="AG554" s="1415"/>
      <c r="AH554" s="1416"/>
      <c r="AI554" s="1438"/>
      <c r="AJ554" s="1439"/>
      <c r="AK554" s="1439"/>
      <c r="AL554" s="1440"/>
      <c r="AM554" s="1467">
        <v>26250000</v>
      </c>
      <c r="AN554" s="1468"/>
      <c r="AO554" s="1468"/>
      <c r="AP554" s="1468"/>
      <c r="AQ554" s="1468"/>
      <c r="AR554" s="1468"/>
      <c r="AS554" s="1469"/>
      <c r="AT554" s="1148"/>
      <c r="AU554" s="1147"/>
      <c r="BB554" s="3"/>
      <c r="BC554" s="3"/>
      <c r="BD554" s="3"/>
      <c r="BE554" s="3"/>
      <c r="BF554" s="3"/>
      <c r="BG554" s="3"/>
      <c r="BH554" s="3"/>
      <c r="BI554" s="3"/>
    </row>
    <row r="555" spans="1:61" ht="13" customHeight="1">
      <c r="B555" s="52" t="s">
        <v>113</v>
      </c>
      <c r="C555" s="1442" t="s">
        <v>2714</v>
      </c>
      <c r="D555" s="1442"/>
      <c r="E555" s="1442"/>
      <c r="F555" s="1442"/>
      <c r="G555" s="1442"/>
      <c r="H555" s="1442"/>
      <c r="I555" s="1442"/>
      <c r="J555" s="1442"/>
      <c r="K555" s="1442"/>
      <c r="L555" s="1442"/>
      <c r="M555" s="1441" t="s">
        <v>2117</v>
      </c>
      <c r="N555" s="1441"/>
      <c r="O555" s="1441"/>
      <c r="P555" s="1441"/>
      <c r="Q555" s="1426">
        <v>24</v>
      </c>
      <c r="R555" s="1427"/>
      <c r="S555" s="1428"/>
      <c r="T555" s="1426"/>
      <c r="U555" s="1427"/>
      <c r="V555" s="1428"/>
      <c r="W555" s="1423">
        <v>6.5000000000000002E-2</v>
      </c>
      <c r="X555" s="1424"/>
      <c r="Y555" s="1425"/>
      <c r="Z555" s="1432" t="s">
        <v>2715</v>
      </c>
      <c r="AA555" s="1432"/>
      <c r="AB555" s="1432"/>
      <c r="AC555" s="1432"/>
      <c r="AD555" s="1432"/>
      <c r="AE555" s="1414">
        <v>1</v>
      </c>
      <c r="AF555" s="1415"/>
      <c r="AG555" s="1415"/>
      <c r="AH555" s="1416"/>
      <c r="AI555" s="1438"/>
      <c r="AJ555" s="1439"/>
      <c r="AK555" s="1439"/>
      <c r="AL555" s="1440"/>
      <c r="AM555" s="1467">
        <v>8632472</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3" customHeight="1">
      <c r="B556" s="52" t="s">
        <v>119</v>
      </c>
      <c r="C556" s="1442" t="s">
        <v>2694</v>
      </c>
      <c r="D556" s="1442"/>
      <c r="E556" s="1442"/>
      <c r="F556" s="1442"/>
      <c r="G556" s="1442"/>
      <c r="H556" s="1442"/>
      <c r="I556" s="1442"/>
      <c r="J556" s="1442"/>
      <c r="K556" s="1442"/>
      <c r="L556" s="1442"/>
      <c r="M556" s="1441" t="s">
        <v>2114</v>
      </c>
      <c r="N556" s="1441"/>
      <c r="O556" s="1441"/>
      <c r="P556" s="1441"/>
      <c r="Q556" s="1426"/>
      <c r="R556" s="1427"/>
      <c r="S556" s="1428"/>
      <c r="T556" s="1426"/>
      <c r="U556" s="1427"/>
      <c r="V556" s="1428"/>
      <c r="W556" s="1423">
        <v>0.03</v>
      </c>
      <c r="X556" s="1424"/>
      <c r="Y556" s="1425"/>
      <c r="Z556" s="1432" t="s">
        <v>2697</v>
      </c>
      <c r="AA556" s="1432"/>
      <c r="AB556" s="1432"/>
      <c r="AC556" s="1432"/>
      <c r="AD556" s="1432"/>
      <c r="AE556" s="1414">
        <v>2</v>
      </c>
      <c r="AF556" s="1415"/>
      <c r="AG556" s="1415"/>
      <c r="AH556" s="1416"/>
      <c r="AI556" s="1438"/>
      <c r="AJ556" s="1439"/>
      <c r="AK556" s="1439"/>
      <c r="AL556" s="1440"/>
      <c r="AM556" s="1467">
        <v>3175000</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3" customHeight="1">
      <c r="B557" s="52" t="s">
        <v>581</v>
      </c>
      <c r="C557" s="1442" t="s">
        <v>2614</v>
      </c>
      <c r="D557" s="1442"/>
      <c r="E557" s="1442"/>
      <c r="F557" s="1442"/>
      <c r="G557" s="1442"/>
      <c r="H557" s="1442"/>
      <c r="I557" s="1442"/>
      <c r="J557" s="1442"/>
      <c r="K557" s="1442"/>
      <c r="L557" s="1442"/>
      <c r="M557" s="1441" t="s">
        <v>2114</v>
      </c>
      <c r="N557" s="1441"/>
      <c r="O557" s="1441"/>
      <c r="P557" s="1441"/>
      <c r="Q557" s="1426"/>
      <c r="R557" s="1427"/>
      <c r="S557" s="1428"/>
      <c r="T557" s="1426"/>
      <c r="U557" s="1427"/>
      <c r="V557" s="1428"/>
      <c r="W557" s="1423">
        <v>0.03</v>
      </c>
      <c r="X557" s="1424"/>
      <c r="Y557" s="1425"/>
      <c r="Z557" s="1432" t="s">
        <v>2697</v>
      </c>
      <c r="AA557" s="1432"/>
      <c r="AB557" s="1432"/>
      <c r="AC557" s="1432"/>
      <c r="AD557" s="1432"/>
      <c r="AE557" s="1414">
        <v>2</v>
      </c>
      <c r="AF557" s="1415"/>
      <c r="AG557" s="1415"/>
      <c r="AH557" s="1416"/>
      <c r="AI557" s="1438"/>
      <c r="AJ557" s="1439"/>
      <c r="AK557" s="1439"/>
      <c r="AL557" s="1440"/>
      <c r="AM557" s="1467">
        <v>5000000</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3" customHeight="1">
      <c r="B558" s="52" t="s">
        <v>763</v>
      </c>
      <c r="C558" s="1442" t="s">
        <v>2698</v>
      </c>
      <c r="D558" s="1442"/>
      <c r="E558" s="1442"/>
      <c r="F558" s="1442"/>
      <c r="G558" s="1442"/>
      <c r="H558" s="1442"/>
      <c r="I558" s="1442"/>
      <c r="J558" s="1442"/>
      <c r="K558" s="1442"/>
      <c r="L558" s="1442"/>
      <c r="M558" s="1441" t="s">
        <v>2109</v>
      </c>
      <c r="N558" s="1441"/>
      <c r="O558" s="1441"/>
      <c r="P558" s="1441"/>
      <c r="Q558" s="1426"/>
      <c r="R558" s="1427"/>
      <c r="S558" s="1428"/>
      <c r="T558" s="1426"/>
      <c r="U558" s="1427"/>
      <c r="V558" s="1428"/>
      <c r="W558" s="1423"/>
      <c r="X558" s="1424"/>
      <c r="Y558" s="1425"/>
      <c r="Z558" s="1432" t="s">
        <v>591</v>
      </c>
      <c r="AA558" s="1432"/>
      <c r="AB558" s="1432"/>
      <c r="AC558" s="1432"/>
      <c r="AD558" s="1432"/>
      <c r="AE558" s="1414"/>
      <c r="AF558" s="1415"/>
      <c r="AG558" s="1415"/>
      <c r="AH558" s="1416"/>
      <c r="AI558" s="1438"/>
      <c r="AJ558" s="1439"/>
      <c r="AK558" s="1439"/>
      <c r="AL558" s="1440"/>
      <c r="AM558" s="1467">
        <v>3296643</v>
      </c>
      <c r="AN558" s="1468"/>
      <c r="AO558" s="1468"/>
      <c r="AP558" s="1468"/>
      <c r="AQ558" s="1468"/>
      <c r="AR558" s="1468"/>
      <c r="AS558" s="1469"/>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442" t="s">
        <v>2699</v>
      </c>
      <c r="D559" s="1442"/>
      <c r="E559" s="1442"/>
      <c r="F559" s="1442"/>
      <c r="G559" s="1442"/>
      <c r="H559" s="1442"/>
      <c r="I559" s="1442"/>
      <c r="J559" s="1442"/>
      <c r="K559" s="1442"/>
      <c r="L559" s="1442"/>
      <c r="M559" s="1441" t="s">
        <v>2109</v>
      </c>
      <c r="N559" s="1441"/>
      <c r="O559" s="1441"/>
      <c r="P559" s="1441"/>
      <c r="Q559" s="1426"/>
      <c r="R559" s="1427"/>
      <c r="S559" s="1428"/>
      <c r="T559" s="1426"/>
      <c r="U559" s="1427"/>
      <c r="V559" s="1428"/>
      <c r="W559" s="1423"/>
      <c r="X559" s="1424"/>
      <c r="Y559" s="1425"/>
      <c r="Z559" s="1432" t="s">
        <v>591</v>
      </c>
      <c r="AA559" s="1432"/>
      <c r="AB559" s="1432"/>
      <c r="AC559" s="1432"/>
      <c r="AD559" s="1432"/>
      <c r="AE559" s="1414"/>
      <c r="AF559" s="1415"/>
      <c r="AG559" s="1415"/>
      <c r="AH559" s="1416"/>
      <c r="AI559" s="1438"/>
      <c r="AJ559" s="1439"/>
      <c r="AK559" s="1439"/>
      <c r="AL559" s="1440"/>
      <c r="AM559" s="1467">
        <v>1566000</v>
      </c>
      <c r="AN559" s="1468"/>
      <c r="AO559" s="1468"/>
      <c r="AP559" s="1468"/>
      <c r="AQ559" s="1468"/>
      <c r="AR559" s="1468"/>
      <c r="AS559" s="1469"/>
      <c r="AT559" s="1148" t="str">
        <f t="shared" si="0"/>
        <v/>
      </c>
      <c r="AU559" s="1147"/>
      <c r="BB559" s="3"/>
      <c r="BC559" s="3"/>
      <c r="BD559" s="3"/>
      <c r="BE559" s="3"/>
      <c r="BF559" s="3"/>
      <c r="BG559" s="3"/>
      <c r="BH559" s="3" t="s">
        <v>584</v>
      </c>
      <c r="BI559" s="3" t="str">
        <f>AG665</f>
        <v>No</v>
      </c>
    </row>
    <row r="560" spans="1:61" ht="13" customHeight="1">
      <c r="B560" s="52" t="s">
        <v>455</v>
      </c>
      <c r="C560" s="1442" t="s">
        <v>2755</v>
      </c>
      <c r="D560" s="1442"/>
      <c r="E560" s="1442"/>
      <c r="F560" s="1442"/>
      <c r="G560" s="1442"/>
      <c r="H560" s="1442"/>
      <c r="I560" s="1442"/>
      <c r="J560" s="1442"/>
      <c r="K560" s="1442"/>
      <c r="L560" s="1442"/>
      <c r="M560" s="1441" t="s">
        <v>2114</v>
      </c>
      <c r="N560" s="1441"/>
      <c r="O560" s="1441"/>
      <c r="P560" s="1441"/>
      <c r="Q560" s="1426"/>
      <c r="R560" s="1427"/>
      <c r="S560" s="1428"/>
      <c r="T560" s="1426"/>
      <c r="U560" s="1427"/>
      <c r="V560" s="1428"/>
      <c r="W560" s="1423"/>
      <c r="X560" s="1424"/>
      <c r="Y560" s="1425"/>
      <c r="Z560" s="1432" t="s">
        <v>591</v>
      </c>
      <c r="AA560" s="1432"/>
      <c r="AB560" s="1432"/>
      <c r="AC560" s="1432"/>
      <c r="AD560" s="1432"/>
      <c r="AE560" s="1414"/>
      <c r="AF560" s="1415"/>
      <c r="AG560" s="1415"/>
      <c r="AH560" s="1416"/>
      <c r="AI560" s="1438"/>
      <c r="AJ560" s="1439"/>
      <c r="AK560" s="1439"/>
      <c r="AL560" s="1440"/>
      <c r="AM560" s="1467">
        <v>100000</v>
      </c>
      <c r="AN560" s="1468"/>
      <c r="AO560" s="1468"/>
      <c r="AP560" s="1468"/>
      <c r="AQ560" s="1468"/>
      <c r="AR560" s="1468"/>
      <c r="AS560" s="1469"/>
      <c r="AT560" s="1148" t="str">
        <f t="shared" si="0"/>
        <v/>
      </c>
      <c r="AU560" s="1147"/>
      <c r="BB560" s="3"/>
      <c r="BC560" s="3"/>
      <c r="BD560" s="3"/>
      <c r="BE560" s="3"/>
      <c r="BF560" s="3"/>
      <c r="BG560" s="3"/>
      <c r="BH560" s="3"/>
      <c r="BI560" s="3"/>
    </row>
    <row r="561" spans="1:61" ht="13" customHeight="1">
      <c r="B561" s="52" t="s">
        <v>456</v>
      </c>
      <c r="C561" s="1442" t="s">
        <v>2700</v>
      </c>
      <c r="D561" s="1442"/>
      <c r="E561" s="1442"/>
      <c r="F561" s="1442"/>
      <c r="G561" s="1442"/>
      <c r="H561" s="1442"/>
      <c r="I561" s="1442"/>
      <c r="J561" s="1442"/>
      <c r="K561" s="1442"/>
      <c r="L561" s="1442"/>
      <c r="M561" s="1441" t="s">
        <v>2104</v>
      </c>
      <c r="N561" s="1441"/>
      <c r="O561" s="1441"/>
      <c r="P561" s="1441"/>
      <c r="Q561" s="1426"/>
      <c r="R561" s="1427"/>
      <c r="S561" s="1428"/>
      <c r="T561" s="1426"/>
      <c r="U561" s="1427"/>
      <c r="V561" s="1428"/>
      <c r="W561" s="1423"/>
      <c r="X561" s="1424"/>
      <c r="Y561" s="1425"/>
      <c r="Z561" s="1432" t="s">
        <v>591</v>
      </c>
      <c r="AA561" s="1432"/>
      <c r="AB561" s="1432"/>
      <c r="AC561" s="1432"/>
      <c r="AD561" s="1432"/>
      <c r="AE561" s="1414"/>
      <c r="AF561" s="1415"/>
      <c r="AG561" s="1415"/>
      <c r="AH561" s="1416"/>
      <c r="AI561" s="1438"/>
      <c r="AJ561" s="1439"/>
      <c r="AK561" s="1439"/>
      <c r="AL561" s="1440"/>
      <c r="AM561" s="1467">
        <v>7949395</v>
      </c>
      <c r="AN561" s="1468"/>
      <c r="AO561" s="1468"/>
      <c r="AP561" s="1468"/>
      <c r="AQ561" s="1468"/>
      <c r="AR561" s="1468"/>
      <c r="AS561" s="1469"/>
      <c r="AT561" s="1148" t="str">
        <f t="shared" si="0"/>
        <v/>
      </c>
      <c r="AU561" s="1147"/>
      <c r="BB561" s="3"/>
      <c r="BC561" s="3"/>
      <c r="BD561" s="3"/>
      <c r="BE561" s="3"/>
      <c r="BF561" s="3"/>
      <c r="BG561" s="3"/>
      <c r="BH561" s="3"/>
      <c r="BI561" s="3"/>
    </row>
    <row r="562" spans="1:61" ht="13" customHeight="1">
      <c r="B562" s="52" t="s">
        <v>461</v>
      </c>
      <c r="C562" s="1442"/>
      <c r="D562" s="1442"/>
      <c r="E562" s="1442"/>
      <c r="F562" s="1442"/>
      <c r="G562" s="1442"/>
      <c r="H562" s="1442"/>
      <c r="I562" s="1442"/>
      <c r="J562" s="1442"/>
      <c r="K562" s="1442"/>
      <c r="L562" s="1442"/>
      <c r="M562" s="1441" t="s">
        <v>1183</v>
      </c>
      <c r="N562" s="1441"/>
      <c r="O562" s="1441"/>
      <c r="P562" s="1441"/>
      <c r="Q562" s="1426"/>
      <c r="R562" s="1427"/>
      <c r="S562" s="1428"/>
      <c r="T562" s="1426"/>
      <c r="U562" s="1427"/>
      <c r="V562" s="1428"/>
      <c r="W562" s="1423"/>
      <c r="X562" s="1424"/>
      <c r="Y562" s="1425"/>
      <c r="Z562" s="1432" t="s">
        <v>1183</v>
      </c>
      <c r="AA562" s="1432"/>
      <c r="AB562" s="1432"/>
      <c r="AC562" s="1432"/>
      <c r="AD562" s="1432"/>
      <c r="AE562" s="1414"/>
      <c r="AF562" s="1415"/>
      <c r="AG562" s="1415"/>
      <c r="AH562" s="1416"/>
      <c r="AI562" s="1438"/>
      <c r="AJ562" s="1439"/>
      <c r="AK562" s="1439"/>
      <c r="AL562" s="1440"/>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3" customHeight="1">
      <c r="B563" s="52" t="s">
        <v>646</v>
      </c>
      <c r="C563" s="1442"/>
      <c r="D563" s="1442"/>
      <c r="E563" s="1442"/>
      <c r="F563" s="1442"/>
      <c r="G563" s="1442"/>
      <c r="H563" s="1442"/>
      <c r="I563" s="1442"/>
      <c r="J563" s="1442"/>
      <c r="K563" s="1442"/>
      <c r="L563" s="1442"/>
      <c r="M563" s="1441" t="s">
        <v>1183</v>
      </c>
      <c r="N563" s="1441"/>
      <c r="O563" s="1441"/>
      <c r="P563" s="1441"/>
      <c r="Q563" s="1426"/>
      <c r="R563" s="1427"/>
      <c r="S563" s="1428"/>
      <c r="T563" s="1426"/>
      <c r="U563" s="1427"/>
      <c r="V563" s="1428"/>
      <c r="W563" s="1423"/>
      <c r="X563" s="1424"/>
      <c r="Y563" s="1425"/>
      <c r="Z563" s="1432" t="s">
        <v>1183</v>
      </c>
      <c r="AA563" s="1432"/>
      <c r="AB563" s="1432"/>
      <c r="AC563" s="1432"/>
      <c r="AD563" s="1432"/>
      <c r="AE563" s="1414"/>
      <c r="AF563" s="1415"/>
      <c r="AG563" s="1415"/>
      <c r="AH563" s="1416"/>
      <c r="AI563" s="1438"/>
      <c r="AJ563" s="1439"/>
      <c r="AK563" s="1439"/>
      <c r="AL563" s="1440"/>
      <c r="AM563" s="1467"/>
      <c r="AN563" s="1468"/>
      <c r="AO563" s="1468"/>
      <c r="AP563" s="1468"/>
      <c r="AQ563" s="1468"/>
      <c r="AR563" s="1468"/>
      <c r="AS563" s="1469"/>
      <c r="AT563" s="1148" t="str">
        <f t="shared" si="0"/>
        <v/>
      </c>
      <c r="BB563" s="3"/>
      <c r="BC563" s="3"/>
      <c r="BD563" s="3"/>
      <c r="BE563" s="3"/>
      <c r="BF563" s="3"/>
      <c r="BG563" s="3"/>
      <c r="BH563" s="3"/>
      <c r="BI563" s="3"/>
    </row>
    <row r="564" spans="1:61" ht="13" customHeight="1">
      <c r="B564" s="52" t="s">
        <v>362</v>
      </c>
      <c r="C564" s="1442"/>
      <c r="D564" s="1442"/>
      <c r="E564" s="1442"/>
      <c r="F564" s="1442"/>
      <c r="G564" s="1442"/>
      <c r="H564" s="1442"/>
      <c r="I564" s="1442"/>
      <c r="J564" s="1442"/>
      <c r="K564" s="1442"/>
      <c r="L564" s="1442"/>
      <c r="M564" s="1441" t="s">
        <v>1183</v>
      </c>
      <c r="N564" s="1441"/>
      <c r="O564" s="1441"/>
      <c r="P564" s="1441"/>
      <c r="Q564" s="1426"/>
      <c r="R564" s="1427"/>
      <c r="S564" s="1428"/>
      <c r="T564" s="1426"/>
      <c r="U564" s="1427"/>
      <c r="V564" s="1428"/>
      <c r="W564" s="1423"/>
      <c r="X564" s="1424"/>
      <c r="Y564" s="1425"/>
      <c r="Z564" s="1432" t="s">
        <v>1183</v>
      </c>
      <c r="AA564" s="1432"/>
      <c r="AB564" s="1432"/>
      <c r="AC564" s="1432"/>
      <c r="AD564" s="1432"/>
      <c r="AE564" s="1414"/>
      <c r="AF564" s="1415"/>
      <c r="AG564" s="1415"/>
      <c r="AH564" s="1416"/>
      <c r="AI564" s="1438"/>
      <c r="AJ564" s="1439"/>
      <c r="AK564" s="1439"/>
      <c r="AL564" s="1440"/>
      <c r="AM564" s="1467"/>
      <c r="AN564" s="1468"/>
      <c r="AO564" s="1468"/>
      <c r="AP564" s="1468"/>
      <c r="AQ564" s="1468"/>
      <c r="AR564" s="1468"/>
      <c r="AS564" s="1469"/>
      <c r="AT564" s="1148" t="str">
        <f t="shared" si="0"/>
        <v/>
      </c>
      <c r="BB564" s="3"/>
      <c r="BC564" s="3"/>
      <c r="BD564" s="3"/>
      <c r="BE564" s="3"/>
      <c r="BF564" s="3"/>
      <c r="BG564" s="3"/>
      <c r="BH564" s="3"/>
      <c r="BI564" s="3"/>
    </row>
    <row r="565" spans="1:61" ht="13" customHeight="1">
      <c r="B565" s="52" t="s">
        <v>363</v>
      </c>
      <c r="C565" s="1442"/>
      <c r="D565" s="1442"/>
      <c r="E565" s="1442"/>
      <c r="F565" s="1442"/>
      <c r="G565" s="1442"/>
      <c r="H565" s="1442"/>
      <c r="I565" s="1442"/>
      <c r="J565" s="1442"/>
      <c r="K565" s="1442"/>
      <c r="L565" s="1442"/>
      <c r="M565" s="1441" t="s">
        <v>1183</v>
      </c>
      <c r="N565" s="1441"/>
      <c r="O565" s="1441"/>
      <c r="P565" s="1441"/>
      <c r="Q565" s="1426"/>
      <c r="R565" s="1427"/>
      <c r="S565" s="1428"/>
      <c r="T565" s="1426"/>
      <c r="U565" s="1427"/>
      <c r="V565" s="1428"/>
      <c r="W565" s="1423"/>
      <c r="X565" s="1424"/>
      <c r="Y565" s="1425"/>
      <c r="Z565" s="1432" t="s">
        <v>1183</v>
      </c>
      <c r="AA565" s="1432"/>
      <c r="AB565" s="1432"/>
      <c r="AC565" s="1432"/>
      <c r="AD565" s="1432"/>
      <c r="AE565" s="1414"/>
      <c r="AF565" s="1415"/>
      <c r="AG565" s="1415"/>
      <c r="AH565" s="1416"/>
      <c r="AI565" s="1438"/>
      <c r="AJ565" s="1439"/>
      <c r="AK565" s="1439"/>
      <c r="AL565" s="1440"/>
      <c r="AM565" s="1467"/>
      <c r="AN565" s="1468"/>
      <c r="AO565" s="1468"/>
      <c r="AP565" s="1468"/>
      <c r="AQ565" s="1468"/>
      <c r="AR565" s="1468"/>
      <c r="AS565" s="1469"/>
      <c r="AT565" s="1148" t="str">
        <f t="shared" si="0"/>
        <v/>
      </c>
      <c r="BB565" s="3"/>
      <c r="BC565" s="3"/>
      <c r="BD565" s="3"/>
      <c r="BE565" s="3"/>
      <c r="BF565" s="3"/>
      <c r="BG565" s="3"/>
      <c r="BH565" s="3"/>
      <c r="BI565" s="3"/>
    </row>
    <row r="566" spans="1:61" ht="13"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4">
        <f>SUM(AM554:AS565)</f>
        <v>55969510</v>
      </c>
      <c r="AN566" s="1475"/>
      <c r="AO566" s="1475"/>
      <c r="AP566" s="1475"/>
      <c r="AQ566" s="1475"/>
      <c r="AR566" s="1475"/>
      <c r="AS566" s="1476"/>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5" t="str">
        <f>C554</f>
        <v>Citibank Tax-Exempt Loan</v>
      </c>
      <c r="H568" s="1485"/>
      <c r="I568" s="1485"/>
      <c r="J568" s="1485"/>
      <c r="K568" s="1485"/>
      <c r="L568" s="1485"/>
      <c r="M568" s="1485"/>
      <c r="N568" s="1485"/>
      <c r="O568" s="1485"/>
      <c r="P568" s="1485"/>
      <c r="Q568" s="1485"/>
      <c r="R568" s="1485"/>
      <c r="S568" s="8"/>
      <c r="T568" s="55" t="s">
        <v>113</v>
      </c>
      <c r="U568" t="s">
        <v>463</v>
      </c>
      <c r="Z568" s="1485" t="str">
        <f>C555</f>
        <v>Citbank Taxable Loan</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3" customHeight="1">
      <c r="A569" s="22"/>
      <c r="B569" t="s">
        <v>85</v>
      </c>
      <c r="G569" s="1409" t="s">
        <v>2736</v>
      </c>
      <c r="H569" s="1409"/>
      <c r="I569" s="1409"/>
      <c r="J569" s="1409"/>
      <c r="K569" s="1409"/>
      <c r="L569" s="1409"/>
      <c r="M569" s="1409"/>
      <c r="N569" s="1409"/>
      <c r="O569" s="1409"/>
      <c r="P569" s="1409"/>
      <c r="Q569" s="1409"/>
      <c r="R569" s="1409"/>
      <c r="S569" s="8"/>
      <c r="T569" s="22"/>
      <c r="U569" t="s">
        <v>85</v>
      </c>
      <c r="Z569" s="1409" t="s">
        <v>2736</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3" customHeight="1">
      <c r="A570" s="22"/>
      <c r="B570" t="s">
        <v>580</v>
      </c>
      <c r="G570" s="1409" t="s">
        <v>2737</v>
      </c>
      <c r="H570" s="1409"/>
      <c r="I570" s="1409"/>
      <c r="J570" s="1409"/>
      <c r="K570" s="1409"/>
      <c r="L570" s="1409"/>
      <c r="M570" s="1409"/>
      <c r="N570" s="1409"/>
      <c r="O570" s="1409"/>
      <c r="P570" s="1409"/>
      <c r="Q570" s="1409"/>
      <c r="R570" s="1409"/>
      <c r="T570" s="22"/>
      <c r="U570" t="s">
        <v>580</v>
      </c>
      <c r="Z570" s="1373" t="s">
        <v>2737</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3" customHeight="1">
      <c r="A571" s="22"/>
      <c r="B571" t="s">
        <v>17</v>
      </c>
      <c r="G571" s="1409" t="s">
        <v>2738</v>
      </c>
      <c r="H571" s="1409"/>
      <c r="I571" s="1409"/>
      <c r="J571" s="1409"/>
      <c r="K571" s="1409"/>
      <c r="L571" s="1409"/>
      <c r="M571" s="1409"/>
      <c r="N571" s="1409"/>
      <c r="O571" s="1409"/>
      <c r="P571" s="1409"/>
      <c r="Q571" s="1409"/>
      <c r="R571" s="1409"/>
      <c r="S571" s="8"/>
      <c r="T571" s="22"/>
      <c r="U571" t="s">
        <v>17</v>
      </c>
      <c r="Z571" s="1373" t="s">
        <v>2738</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3" customHeight="1">
      <c r="A572" s="22"/>
      <c r="B572" t="s">
        <v>316</v>
      </c>
      <c r="G572" s="1489" t="s">
        <v>2739</v>
      </c>
      <c r="H572" s="1489"/>
      <c r="I572" s="1489"/>
      <c r="J572" s="1489"/>
      <c r="K572" s="1489"/>
      <c r="L572" s="1489"/>
      <c r="O572" s="33" t="s">
        <v>206</v>
      </c>
      <c r="P572" s="1473"/>
      <c r="Q572" s="1473"/>
      <c r="R572" s="1473"/>
      <c r="S572" s="10"/>
      <c r="T572" s="22"/>
      <c r="U572" t="s">
        <v>316</v>
      </c>
      <c r="Z572" s="1489" t="s">
        <v>2739</v>
      </c>
      <c r="AA572" s="1489"/>
      <c r="AB572" s="1489"/>
      <c r="AC572" s="1489"/>
      <c r="AD572" s="1489"/>
      <c r="AE572" s="1489"/>
      <c r="AH572" s="33" t="s">
        <v>206</v>
      </c>
      <c r="AI572" s="1473"/>
      <c r="AJ572" s="1473"/>
      <c r="AK572" s="1473"/>
      <c r="BB572" s="3"/>
      <c r="BC572" s="3"/>
      <c r="BD572" s="3"/>
      <c r="BE572" s="3"/>
      <c r="BF572" s="3"/>
      <c r="BG572" s="3"/>
      <c r="BH572" s="3"/>
      <c r="BI572" s="3"/>
    </row>
    <row r="573" spans="1:61" ht="13" customHeight="1">
      <c r="A573" s="22"/>
      <c r="B573" t="s">
        <v>18</v>
      </c>
      <c r="H573" s="1409" t="s">
        <v>2740</v>
      </c>
      <c r="I573" s="1409"/>
      <c r="J573" s="1409"/>
      <c r="K573" s="1409"/>
      <c r="L573" s="1409"/>
      <c r="M573" s="1409"/>
      <c r="N573" s="1409"/>
      <c r="O573" s="1409"/>
      <c r="P573" s="1409"/>
      <c r="Q573" s="1409"/>
      <c r="R573" s="1409"/>
      <c r="S573" s="8"/>
      <c r="T573" s="22"/>
      <c r="U573" t="s">
        <v>18</v>
      </c>
      <c r="AA573" s="1409" t="s">
        <v>2117</v>
      </c>
      <c r="AB573" s="1409"/>
      <c r="AC573" s="1409"/>
      <c r="AD573" s="1409"/>
      <c r="AE573" s="1409"/>
      <c r="AF573" s="1409"/>
      <c r="AG573" s="1409"/>
      <c r="AH573" s="1409"/>
      <c r="AI573" s="1409"/>
      <c r="AJ573" s="1409"/>
      <c r="AK573" s="1409"/>
      <c r="BB573" s="3"/>
      <c r="BC573" s="3"/>
      <c r="BD573" s="3"/>
      <c r="BE573" s="3"/>
      <c r="BF573" s="3"/>
      <c r="BG573" s="3"/>
      <c r="BH573" s="3"/>
      <c r="BI573" s="3"/>
    </row>
    <row r="574" spans="1:61" ht="13" customHeight="1">
      <c r="A574" s="22"/>
      <c r="B574" s="320" t="s">
        <v>1184</v>
      </c>
      <c r="H574" s="8"/>
      <c r="I574" s="8"/>
      <c r="J574" s="8"/>
      <c r="K574" s="8"/>
      <c r="L574" s="8"/>
      <c r="M574" s="1603"/>
      <c r="N574" s="1603"/>
      <c r="O574" s="1603"/>
      <c r="P574" s="1603"/>
      <c r="Q574" s="1603"/>
      <c r="R574" s="1603"/>
      <c r="S574" s="8"/>
      <c r="T574" s="22"/>
      <c r="U574" s="320" t="s">
        <v>1184</v>
      </c>
      <c r="AA574" s="8"/>
      <c r="AB574" s="8"/>
      <c r="AC574" s="8"/>
      <c r="AD574" s="8"/>
      <c r="AE574" s="8"/>
      <c r="AF574" s="1603"/>
      <c r="AG574" s="1603"/>
      <c r="AH574" s="1603"/>
      <c r="AI574" s="1603"/>
      <c r="AJ574" s="1603"/>
      <c r="AK574" s="1603"/>
      <c r="BB574" s="3"/>
      <c r="BC574" s="3"/>
      <c r="BD574" s="3"/>
      <c r="BE574" s="3"/>
      <c r="BF574" s="3"/>
      <c r="BG574" s="3"/>
      <c r="BH574" s="3"/>
      <c r="BI574" s="3"/>
    </row>
    <row r="575" spans="1:61" ht="13" customHeight="1">
      <c r="A575" s="22"/>
      <c r="B575" t="s">
        <v>20</v>
      </c>
      <c r="N575" s="1417" t="s">
        <v>545</v>
      </c>
      <c r="O575" s="1417"/>
      <c r="T575" s="22"/>
      <c r="U575" t="s">
        <v>20</v>
      </c>
      <c r="AG575" s="1417" t="s">
        <v>545</v>
      </c>
      <c r="AH575" s="1417"/>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5" t="str">
        <f>C556</f>
        <v>City of San Diego Bridge To Home</v>
      </c>
      <c r="H577" s="1485"/>
      <c r="I577" s="1485"/>
      <c r="J577" s="1485"/>
      <c r="K577" s="1485"/>
      <c r="L577" s="1485"/>
      <c r="M577" s="1485"/>
      <c r="N577" s="1485"/>
      <c r="O577" s="1485"/>
      <c r="P577" s="1485"/>
      <c r="Q577" s="1485"/>
      <c r="R577" s="1485"/>
      <c r="T577" s="55" t="s">
        <v>581</v>
      </c>
      <c r="U577" t="s">
        <v>463</v>
      </c>
      <c r="Z577" s="1485" t="str">
        <f>C557</f>
        <v>San Diego Housing Commission</v>
      </c>
      <c r="AA577" s="1485"/>
      <c r="AB577" s="1485"/>
      <c r="AC577" s="1485"/>
      <c r="AD577" s="1485"/>
      <c r="AE577" s="1485"/>
      <c r="AF577" s="1485"/>
      <c r="AG577" s="1485"/>
      <c r="AH577" s="1485"/>
      <c r="AI577" s="1485"/>
      <c r="AJ577" s="1485"/>
      <c r="AK577" s="1485"/>
      <c r="BB577" s="3"/>
      <c r="BC577" s="3"/>
    </row>
    <row r="578" spans="1:55" ht="13" customHeight="1">
      <c r="A578" s="22"/>
      <c r="B578" t="s">
        <v>85</v>
      </c>
      <c r="G578" s="1409" t="s">
        <v>2701</v>
      </c>
      <c r="H578" s="1409"/>
      <c r="I578" s="1409"/>
      <c r="J578" s="1409"/>
      <c r="K578" s="1409"/>
      <c r="L578" s="1409"/>
      <c r="M578" s="1409"/>
      <c r="N578" s="1409"/>
      <c r="O578" s="1409"/>
      <c r="P578" s="1409"/>
      <c r="Q578" s="1409"/>
      <c r="R578" s="1409"/>
      <c r="T578" s="22"/>
      <c r="U578" t="s">
        <v>85</v>
      </c>
      <c r="Z578" s="1409" t="s">
        <v>2678</v>
      </c>
      <c r="AA578" s="1409"/>
      <c r="AB578" s="1409"/>
      <c r="AC578" s="1409"/>
      <c r="AD578" s="1409"/>
      <c r="AE578" s="1409"/>
      <c r="AF578" s="1409"/>
      <c r="AG578" s="1409"/>
      <c r="AH578" s="1409"/>
      <c r="AI578" s="1409"/>
      <c r="AJ578" s="1409"/>
      <c r="AK578" s="1409"/>
      <c r="BB578" s="3"/>
      <c r="BC578" s="3"/>
    </row>
    <row r="579" spans="1:55" ht="13" customHeight="1">
      <c r="A579" s="22"/>
      <c r="B579" t="s">
        <v>580</v>
      </c>
      <c r="G579" s="1373" t="s">
        <v>2679</v>
      </c>
      <c r="H579" s="1373"/>
      <c r="I579" s="1373"/>
      <c r="J579" s="1373"/>
      <c r="K579" s="1373"/>
      <c r="L579" s="1373"/>
      <c r="M579" s="1373"/>
      <c r="N579" s="1373"/>
      <c r="O579" s="1373"/>
      <c r="P579" s="1373"/>
      <c r="Q579" s="1373"/>
      <c r="R579" s="1373"/>
      <c r="T579" s="22"/>
      <c r="U579" t="s">
        <v>580</v>
      </c>
      <c r="Z579" s="1373" t="s">
        <v>2679</v>
      </c>
      <c r="AA579" s="1373"/>
      <c r="AB579" s="1373"/>
      <c r="AC579" s="1373"/>
      <c r="AD579" s="1373"/>
      <c r="AE579" s="1373"/>
      <c r="AF579" s="1373"/>
      <c r="AG579" s="1373"/>
      <c r="AH579" s="1373"/>
      <c r="AI579" s="1373"/>
      <c r="AJ579" s="1373"/>
      <c r="AK579" s="1373"/>
      <c r="BB579" s="3"/>
      <c r="BC579" s="3"/>
    </row>
    <row r="580" spans="1:55" ht="13" customHeight="1">
      <c r="A580" s="22"/>
      <c r="B580" t="s">
        <v>17</v>
      </c>
      <c r="G580" s="1373" t="s">
        <v>2702</v>
      </c>
      <c r="H580" s="1373"/>
      <c r="I580" s="1373"/>
      <c r="J580" s="1373"/>
      <c r="K580" s="1373"/>
      <c r="L580" s="1373"/>
      <c r="M580" s="1373"/>
      <c r="N580" s="1373"/>
      <c r="O580" s="1373"/>
      <c r="P580" s="1373"/>
      <c r="Q580" s="1373"/>
      <c r="R580" s="1373"/>
      <c r="T580" s="22"/>
      <c r="U580" t="s">
        <v>17</v>
      </c>
      <c r="Z580" s="1373" t="s">
        <v>2705</v>
      </c>
      <c r="AA580" s="1373"/>
      <c r="AB580" s="1373"/>
      <c r="AC580" s="1373"/>
      <c r="AD580" s="1373"/>
      <c r="AE580" s="1373"/>
      <c r="AF580" s="1373"/>
      <c r="AG580" s="1373"/>
      <c r="AH580" s="1373"/>
      <c r="AI580" s="1373"/>
      <c r="AJ580" s="1373"/>
      <c r="AK580" s="1373"/>
      <c r="BB580" s="3"/>
      <c r="BC580" s="3"/>
    </row>
    <row r="581" spans="1:55" ht="13" customHeight="1">
      <c r="A581" s="22"/>
      <c r="B581" t="s">
        <v>316</v>
      </c>
      <c r="G581" s="1489" t="s">
        <v>2703</v>
      </c>
      <c r="H581" s="1489"/>
      <c r="I581" s="1489"/>
      <c r="J581" s="1489"/>
      <c r="K581" s="1489"/>
      <c r="L581" s="1489"/>
      <c r="O581" s="33" t="s">
        <v>206</v>
      </c>
      <c r="P581" s="1473"/>
      <c r="Q581" s="1473"/>
      <c r="R581" s="1473"/>
      <c r="T581" s="22"/>
      <c r="U581" t="s">
        <v>316</v>
      </c>
      <c r="Z581" s="1532" t="s">
        <v>2706</v>
      </c>
      <c r="AA581" s="1489"/>
      <c r="AB581" s="1489"/>
      <c r="AC581" s="1489"/>
      <c r="AD581" s="1489"/>
      <c r="AE581" s="1489"/>
      <c r="AH581" s="33" t="s">
        <v>206</v>
      </c>
      <c r="AI581" s="1473"/>
      <c r="AJ581" s="1473"/>
      <c r="AK581" s="1473"/>
      <c r="BB581" s="3"/>
      <c r="BC581" s="3"/>
    </row>
    <row r="582" spans="1:55" ht="13" customHeight="1">
      <c r="A582" s="22"/>
      <c r="B582" t="s">
        <v>18</v>
      </c>
      <c r="H582" s="1409" t="s">
        <v>2704</v>
      </c>
      <c r="I582" s="1409"/>
      <c r="J582" s="1409"/>
      <c r="K582" s="1409"/>
      <c r="L582" s="1409"/>
      <c r="M582" s="1409"/>
      <c r="N582" s="1409"/>
      <c r="O582" s="1409"/>
      <c r="P582" s="1409"/>
      <c r="Q582" s="1409"/>
      <c r="R582" s="1409"/>
      <c r="T582" s="22"/>
      <c r="U582" t="s">
        <v>18</v>
      </c>
      <c r="AA582" s="1409" t="s">
        <v>2704</v>
      </c>
      <c r="AB582" s="1409"/>
      <c r="AC582" s="1409"/>
      <c r="AD582" s="1409"/>
      <c r="AE582" s="1409"/>
      <c r="AF582" s="1409"/>
      <c r="AG582" s="1409"/>
      <c r="AH582" s="1409"/>
      <c r="AI582" s="1409"/>
      <c r="AJ582" s="1409"/>
      <c r="AK582" s="1409"/>
      <c r="BB582" s="3"/>
      <c r="BC582" s="3"/>
    </row>
    <row r="583" spans="1:55" ht="13" customHeight="1">
      <c r="A583" s="22"/>
      <c r="B583" t="s">
        <v>20</v>
      </c>
      <c r="N583" s="1417" t="s">
        <v>545</v>
      </c>
      <c r="O583" s="1417"/>
      <c r="T583" s="22"/>
      <c r="U583" t="s">
        <v>20</v>
      </c>
      <c r="AG583" s="1417" t="s">
        <v>545</v>
      </c>
      <c r="AH583" s="1417"/>
      <c r="BB583" s="3"/>
      <c r="BC583" s="3"/>
    </row>
    <row r="584" spans="1:55" ht="13" customHeight="1">
      <c r="A584" s="22"/>
      <c r="T584" s="22"/>
      <c r="BB584" s="3"/>
      <c r="BC584" s="3"/>
    </row>
    <row r="585" spans="1:55" ht="13" customHeight="1">
      <c r="A585" s="55" t="s">
        <v>763</v>
      </c>
      <c r="B585" t="s">
        <v>463</v>
      </c>
      <c r="G585" s="1485" t="str">
        <f>C558</f>
        <v>Federal LIHTC Equity</v>
      </c>
      <c r="H585" s="1485"/>
      <c r="I585" s="1485"/>
      <c r="J585" s="1485"/>
      <c r="K585" s="1485"/>
      <c r="L585" s="1485"/>
      <c r="M585" s="1485"/>
      <c r="N585" s="1485"/>
      <c r="O585" s="1485"/>
      <c r="P585" s="1485"/>
      <c r="Q585" s="1485"/>
      <c r="R585" s="1485"/>
      <c r="T585" s="55" t="s">
        <v>584</v>
      </c>
      <c r="U585" t="s">
        <v>463</v>
      </c>
      <c r="Z585" s="1485" t="str">
        <f>C559</f>
        <v>State LIHTC Equity</v>
      </c>
      <c r="AA585" s="1485"/>
      <c r="AB585" s="1485"/>
      <c r="AC585" s="1485"/>
      <c r="AD585" s="1485"/>
      <c r="AE585" s="1485"/>
      <c r="AF585" s="1485"/>
      <c r="AG585" s="1485"/>
      <c r="AH585" s="1485"/>
      <c r="AI585" s="1485"/>
      <c r="AJ585" s="1485"/>
      <c r="AK585" s="1485"/>
      <c r="BB585" s="3"/>
      <c r="BC585" s="3"/>
    </row>
    <row r="586" spans="1:55" ht="13" customHeight="1">
      <c r="A586" s="22"/>
      <c r="B586" t="s">
        <v>85</v>
      </c>
      <c r="G586" s="1409" t="s">
        <v>2747</v>
      </c>
      <c r="H586" s="1409"/>
      <c r="I586" s="1409"/>
      <c r="J586" s="1409"/>
      <c r="K586" s="1409"/>
      <c r="L586" s="1409"/>
      <c r="M586" s="1409"/>
      <c r="N586" s="1409"/>
      <c r="O586" s="1409"/>
      <c r="P586" s="1409"/>
      <c r="Q586" s="1409"/>
      <c r="R586" s="1409"/>
      <c r="T586" s="22"/>
      <c r="U586" t="s">
        <v>85</v>
      </c>
      <c r="Z586" s="1409" t="s">
        <v>2747</v>
      </c>
      <c r="AA586" s="1409"/>
      <c r="AB586" s="1409"/>
      <c r="AC586" s="1409"/>
      <c r="AD586" s="1409"/>
      <c r="AE586" s="1409"/>
      <c r="AF586" s="1409"/>
      <c r="AG586" s="1409"/>
      <c r="AH586" s="1409"/>
      <c r="AI586" s="1409"/>
      <c r="AJ586" s="1409"/>
      <c r="AK586" s="1409"/>
      <c r="BB586" s="3"/>
      <c r="BC586" s="3"/>
    </row>
    <row r="587" spans="1:55" ht="13" customHeight="1">
      <c r="A587" s="22"/>
      <c r="B587" t="s">
        <v>580</v>
      </c>
      <c r="G587" s="1373" t="s">
        <v>2748</v>
      </c>
      <c r="H587" s="1373"/>
      <c r="I587" s="1373"/>
      <c r="J587" s="1373"/>
      <c r="K587" s="1373"/>
      <c r="L587" s="1373"/>
      <c r="M587" s="1373"/>
      <c r="N587" s="1373"/>
      <c r="O587" s="1373"/>
      <c r="P587" s="1373"/>
      <c r="Q587" s="1373"/>
      <c r="R587" s="1373"/>
      <c r="T587" s="22"/>
      <c r="U587" t="s">
        <v>580</v>
      </c>
      <c r="Z587" s="1373" t="s">
        <v>2748</v>
      </c>
      <c r="AA587" s="1373"/>
      <c r="AB587" s="1373"/>
      <c r="AC587" s="1373"/>
      <c r="AD587" s="1373"/>
      <c r="AE587" s="1373"/>
      <c r="AF587" s="1373"/>
      <c r="AG587" s="1373"/>
      <c r="AH587" s="1373"/>
      <c r="AI587" s="1373"/>
      <c r="AJ587" s="1373"/>
      <c r="AK587" s="1373"/>
      <c r="BB587" s="3"/>
      <c r="BC587" s="3"/>
    </row>
    <row r="588" spans="1:55" ht="13" customHeight="1">
      <c r="A588" s="22"/>
      <c r="B588" t="s">
        <v>17</v>
      </c>
      <c r="G588" s="1373" t="s">
        <v>2749</v>
      </c>
      <c r="H588" s="1373"/>
      <c r="I588" s="1373"/>
      <c r="J588" s="1373"/>
      <c r="K588" s="1373"/>
      <c r="L588" s="1373"/>
      <c r="M588" s="1373"/>
      <c r="N588" s="1373"/>
      <c r="O588" s="1373"/>
      <c r="P588" s="1373"/>
      <c r="Q588" s="1373"/>
      <c r="R588" s="1373"/>
      <c r="T588" s="22"/>
      <c r="U588" t="s">
        <v>17</v>
      </c>
      <c r="Z588" s="1373" t="s">
        <v>2749</v>
      </c>
      <c r="AA588" s="1373"/>
      <c r="AB588" s="1373"/>
      <c r="AC588" s="1373"/>
      <c r="AD588" s="1373"/>
      <c r="AE588" s="1373"/>
      <c r="AF588" s="1373"/>
      <c r="AG588" s="1373"/>
      <c r="AH588" s="1373"/>
      <c r="AI588" s="1373"/>
      <c r="AJ588" s="1373"/>
      <c r="AK588" s="1373"/>
    </row>
    <row r="589" spans="1:55" ht="13" customHeight="1">
      <c r="A589" s="22"/>
      <c r="B589" t="s">
        <v>316</v>
      </c>
      <c r="G589" s="1532" t="s">
        <v>2750</v>
      </c>
      <c r="H589" s="1532"/>
      <c r="I589" s="1532"/>
      <c r="J589" s="1532"/>
      <c r="K589" s="1532"/>
      <c r="L589" s="1532"/>
      <c r="O589" s="33" t="s">
        <v>206</v>
      </c>
      <c r="P589" s="1473"/>
      <c r="Q589" s="1473"/>
      <c r="R589" s="1473"/>
      <c r="T589" s="22"/>
      <c r="U589" t="s">
        <v>316</v>
      </c>
      <c r="Z589" s="1532" t="s">
        <v>2750</v>
      </c>
      <c r="AA589" s="1532"/>
      <c r="AB589" s="1532"/>
      <c r="AC589" s="1532"/>
      <c r="AD589" s="1532"/>
      <c r="AE589" s="1532"/>
      <c r="AH589" s="33" t="s">
        <v>206</v>
      </c>
      <c r="AI589" s="1473"/>
      <c r="AJ589" s="1473"/>
      <c r="AK589" s="1473"/>
      <c r="AZ589" s="3"/>
      <c r="BA589" s="3"/>
      <c r="BB589" s="3"/>
      <c r="BC589" s="3"/>
    </row>
    <row r="590" spans="1:55" ht="13" customHeight="1">
      <c r="A590" s="22"/>
      <c r="B590" t="s">
        <v>18</v>
      </c>
      <c r="H590" s="1409" t="s">
        <v>2709</v>
      </c>
      <c r="I590" s="1409"/>
      <c r="J590" s="1409"/>
      <c r="K590" s="1409"/>
      <c r="L590" s="1409"/>
      <c r="M590" s="1409"/>
      <c r="N590" s="1409"/>
      <c r="O590" s="1409"/>
      <c r="P590" s="1409"/>
      <c r="Q590" s="1409"/>
      <c r="R590" s="1409"/>
      <c r="T590" s="22"/>
      <c r="U590" t="s">
        <v>18</v>
      </c>
      <c r="AA590" s="1409" t="s">
        <v>2709</v>
      </c>
      <c r="AB590" s="1409"/>
      <c r="AC590" s="1409"/>
      <c r="AD590" s="1409"/>
      <c r="AE590" s="1409"/>
      <c r="AF590" s="1409"/>
      <c r="AG590" s="1409"/>
      <c r="AH590" s="1409"/>
      <c r="AI590" s="1409"/>
      <c r="AJ590" s="1409"/>
      <c r="AK590" s="1409"/>
      <c r="AZ590" s="3"/>
      <c r="BA590" s="3"/>
      <c r="BB590" s="3"/>
      <c r="BC590" s="3"/>
    </row>
    <row r="591" spans="1:55" ht="13" customHeight="1">
      <c r="A591" s="22"/>
      <c r="B591" t="s">
        <v>20</v>
      </c>
      <c r="N591" s="1417" t="s">
        <v>545</v>
      </c>
      <c r="O591" s="1417"/>
      <c r="T591" s="22"/>
      <c r="U591" t="s">
        <v>20</v>
      </c>
      <c r="AG591" s="1417" t="s">
        <v>545</v>
      </c>
      <c r="AH591" s="1417"/>
      <c r="AZ591" s="3"/>
      <c r="BA591" s="3"/>
      <c r="BB591" s="3"/>
      <c r="BC591" s="3"/>
    </row>
    <row r="592" spans="1:55" ht="13" customHeight="1">
      <c r="A592" s="22"/>
      <c r="T592" s="22"/>
      <c r="AZ592" s="3"/>
      <c r="BA592" s="3"/>
      <c r="BB592" s="3"/>
      <c r="BC592" s="3"/>
    </row>
    <row r="593" spans="1:55" ht="13" customHeight="1">
      <c r="A593" s="55" t="s">
        <v>455</v>
      </c>
      <c r="B593" t="s">
        <v>463</v>
      </c>
      <c r="G593" s="1485" t="str">
        <f>C560</f>
        <v>Safehold TI Allowance</v>
      </c>
      <c r="H593" s="1485"/>
      <c r="I593" s="1485"/>
      <c r="J593" s="1485"/>
      <c r="K593" s="1485"/>
      <c r="L593" s="1485"/>
      <c r="M593" s="1485"/>
      <c r="N593" s="1485"/>
      <c r="O593" s="1485"/>
      <c r="P593" s="1485"/>
      <c r="Q593" s="1485"/>
      <c r="R593" s="1485"/>
      <c r="T593" s="55" t="s">
        <v>456</v>
      </c>
      <c r="U593" t="s">
        <v>463</v>
      </c>
      <c r="Z593" s="1485" t="str">
        <f>C561</f>
        <v>Deferred Costs</v>
      </c>
      <c r="AA593" s="1485"/>
      <c r="AB593" s="1485"/>
      <c r="AC593" s="1485"/>
      <c r="AD593" s="1485"/>
      <c r="AE593" s="1485"/>
      <c r="AF593" s="1485"/>
      <c r="AG593" s="1485"/>
      <c r="AH593" s="1485"/>
      <c r="AI593" s="1485"/>
      <c r="AJ593" s="1485"/>
      <c r="AK593" s="1485"/>
      <c r="AZ593" s="3"/>
      <c r="BA593" s="3"/>
      <c r="BB593" s="3"/>
      <c r="BC593" s="3"/>
    </row>
    <row r="594" spans="1:55" s="4" customFormat="1" ht="13" customHeight="1">
      <c r="A594" s="22"/>
      <c r="B594" t="s">
        <v>85</v>
      </c>
      <c r="C594"/>
      <c r="D594"/>
      <c r="E594"/>
      <c r="F594"/>
      <c r="G594" s="1409" t="s">
        <v>2741</v>
      </c>
      <c r="H594" s="1409"/>
      <c r="I594" s="1409"/>
      <c r="J594" s="1409"/>
      <c r="K594" s="1409"/>
      <c r="L594" s="1409"/>
      <c r="M594" s="1409"/>
      <c r="N594" s="1409"/>
      <c r="O594" s="1409"/>
      <c r="P594" s="1409"/>
      <c r="Q594" s="1409"/>
      <c r="R594" s="1409"/>
      <c r="S594"/>
      <c r="T594" s="22"/>
      <c r="U594" t="s">
        <v>85</v>
      </c>
      <c r="V594"/>
      <c r="W594"/>
      <c r="X594"/>
      <c r="Y594"/>
      <c r="Z594" s="1409" t="s">
        <v>2707</v>
      </c>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9" t="s">
        <v>2742</v>
      </c>
      <c r="H595" s="1409"/>
      <c r="I595" s="1409"/>
      <c r="J595" s="1409"/>
      <c r="K595" s="1409"/>
      <c r="L595" s="1409"/>
      <c r="M595" s="1409"/>
      <c r="N595" s="1409"/>
      <c r="O595" s="1409"/>
      <c r="P595" s="1409"/>
      <c r="Q595" s="1409"/>
      <c r="R595" s="1409"/>
      <c r="S595"/>
      <c r="T595" s="22"/>
      <c r="U595" t="s">
        <v>580</v>
      </c>
      <c r="V595"/>
      <c r="W595"/>
      <c r="X595"/>
      <c r="Y595"/>
      <c r="Z595" s="1373" t="s">
        <v>2708</v>
      </c>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9" t="s">
        <v>2753</v>
      </c>
      <c r="H596" s="1409"/>
      <c r="I596" s="1409"/>
      <c r="J596" s="1409"/>
      <c r="K596" s="1409"/>
      <c r="L596" s="1409"/>
      <c r="M596" s="1409"/>
      <c r="N596" s="1409"/>
      <c r="O596" s="1409"/>
      <c r="P596" s="1409"/>
      <c r="Q596" s="1409"/>
      <c r="R596" s="1409"/>
      <c r="S596"/>
      <c r="T596" s="22"/>
      <c r="U596" t="s">
        <v>17</v>
      </c>
      <c r="V596"/>
      <c r="W596"/>
      <c r="X596"/>
      <c r="Y596"/>
      <c r="Z596" s="1373" t="s">
        <v>2612</v>
      </c>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532" t="s">
        <v>2754</v>
      </c>
      <c r="H597" s="1489"/>
      <c r="I597" s="1489"/>
      <c r="J597" s="1489"/>
      <c r="K597" s="1489"/>
      <c r="L597" s="1489"/>
      <c r="M597"/>
      <c r="N597"/>
      <c r="O597" s="33" t="s">
        <v>206</v>
      </c>
      <c r="P597" s="1473"/>
      <c r="Q597" s="1473"/>
      <c r="R597" s="1473"/>
      <c r="S597"/>
      <c r="T597" s="22"/>
      <c r="U597" t="s">
        <v>316</v>
      </c>
      <c r="V597"/>
      <c r="W597"/>
      <c r="X597"/>
      <c r="Y597"/>
      <c r="Z597" s="1489" t="s">
        <v>2626</v>
      </c>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9" t="s">
        <v>2743</v>
      </c>
      <c r="I598" s="1409"/>
      <c r="J598" s="1409"/>
      <c r="K598" s="1409"/>
      <c r="L598" s="1409"/>
      <c r="M598" s="1409"/>
      <c r="N598" s="1409"/>
      <c r="O598" s="1409"/>
      <c r="P598" s="1409"/>
      <c r="Q598" s="1409"/>
      <c r="R598" s="1409"/>
      <c r="S598"/>
      <c r="T598" s="22"/>
      <c r="U598" t="s">
        <v>18</v>
      </c>
      <c r="V598"/>
      <c r="W598"/>
      <c r="X598"/>
      <c r="Y598"/>
      <c r="Z598"/>
      <c r="AA598" s="1409" t="s">
        <v>2709</v>
      </c>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3" customHeight="1">
      <c r="A599" s="22"/>
      <c r="B599" t="s">
        <v>20</v>
      </c>
      <c r="N599" s="1417" t="s">
        <v>545</v>
      </c>
      <c r="O599" s="1417"/>
      <c r="T599" s="22"/>
      <c r="U599" t="s">
        <v>20</v>
      </c>
      <c r="AG599" s="1417" t="s">
        <v>545</v>
      </c>
      <c r="AH599" s="1417"/>
      <c r="BB599" s="3"/>
      <c r="BC599" s="3"/>
    </row>
    <row r="600" spans="1:55" ht="13" customHeight="1">
      <c r="A600" s="22"/>
      <c r="T600" s="22"/>
      <c r="BB600" s="3"/>
      <c r="BC600" s="3"/>
    </row>
    <row r="601" spans="1:55" ht="13" customHeight="1">
      <c r="A601" s="55" t="s">
        <v>461</v>
      </c>
      <c r="B601" t="s">
        <v>463</v>
      </c>
      <c r="G601" s="1485">
        <f>C562</f>
        <v>0</v>
      </c>
      <c r="H601" s="1485"/>
      <c r="I601" s="1485"/>
      <c r="J601" s="1485"/>
      <c r="K601" s="1485"/>
      <c r="L601" s="1485"/>
      <c r="M601" s="1485"/>
      <c r="N601" s="1485"/>
      <c r="O601" s="1485"/>
      <c r="P601" s="1485"/>
      <c r="Q601" s="1485"/>
      <c r="R601" s="1485"/>
      <c r="T601" s="55" t="s">
        <v>646</v>
      </c>
      <c r="U601" t="s">
        <v>463</v>
      </c>
      <c r="Z601" s="1485">
        <f>C563</f>
        <v>0</v>
      </c>
      <c r="AA601" s="1485"/>
      <c r="AB601" s="1485"/>
      <c r="AC601" s="1485"/>
      <c r="AD601" s="1485"/>
      <c r="AE601" s="1485"/>
      <c r="AF601" s="1485"/>
      <c r="AG601" s="1485"/>
      <c r="AH601" s="1485"/>
      <c r="AI601" s="1485"/>
      <c r="AJ601" s="1485"/>
      <c r="AK601" s="1485"/>
      <c r="BB601" s="3"/>
      <c r="BC601" s="3"/>
    </row>
    <row r="602" spans="1:55" ht="13"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3" customHeight="1">
      <c r="A603" s="22"/>
      <c r="B603" t="s">
        <v>580</v>
      </c>
      <c r="G603" s="1409"/>
      <c r="H603" s="1409"/>
      <c r="I603" s="1409"/>
      <c r="J603" s="1409"/>
      <c r="K603" s="1409"/>
      <c r="L603" s="1409"/>
      <c r="M603" s="1409"/>
      <c r="N603" s="1409"/>
      <c r="O603" s="1409"/>
      <c r="P603" s="1409"/>
      <c r="Q603" s="1409"/>
      <c r="R603" s="1409"/>
      <c r="T603" s="22"/>
      <c r="U603" t="s">
        <v>580</v>
      </c>
      <c r="Z603" s="1373"/>
      <c r="AA603" s="1373"/>
      <c r="AB603" s="1373"/>
      <c r="AC603" s="1373"/>
      <c r="AD603" s="1373"/>
      <c r="AE603" s="1373"/>
      <c r="AF603" s="1373"/>
      <c r="AG603" s="1373"/>
      <c r="AH603" s="1373"/>
      <c r="AI603" s="1373"/>
      <c r="AJ603" s="1373"/>
      <c r="AK603" s="1373"/>
      <c r="AZ603" s="3"/>
      <c r="BA603" s="3"/>
      <c r="BB603" s="3"/>
      <c r="BC603" s="3"/>
    </row>
    <row r="604" spans="1:55" ht="13" customHeight="1">
      <c r="A604" s="22"/>
      <c r="B604" t="s">
        <v>17</v>
      </c>
      <c r="G604" s="1409"/>
      <c r="H604" s="1409"/>
      <c r="I604" s="1409"/>
      <c r="J604" s="1409"/>
      <c r="K604" s="1409"/>
      <c r="L604" s="1409"/>
      <c r="M604" s="1409"/>
      <c r="N604" s="1409"/>
      <c r="O604" s="1409"/>
      <c r="P604" s="1409"/>
      <c r="Q604" s="1409"/>
      <c r="R604" s="1409"/>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3"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7" t="s">
        <v>669</v>
      </c>
      <c r="O607" s="1417"/>
      <c r="P607"/>
      <c r="Q607"/>
      <c r="R607"/>
      <c r="S607"/>
      <c r="T607" s="22"/>
      <c r="U607" t="s">
        <v>20</v>
      </c>
      <c r="V607"/>
      <c r="W607"/>
      <c r="X607"/>
      <c r="Y607"/>
      <c r="Z607"/>
      <c r="AA607"/>
      <c r="AB607"/>
      <c r="AC607"/>
      <c r="AD607"/>
      <c r="AE607"/>
      <c r="AF607"/>
      <c r="AG607" s="1417" t="s">
        <v>669</v>
      </c>
      <c r="AH607" s="1417"/>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485">
        <f>C564</f>
        <v>0</v>
      </c>
      <c r="H609" s="1485"/>
      <c r="I609" s="1485"/>
      <c r="J609" s="1485"/>
      <c r="K609" s="1485"/>
      <c r="L609" s="1485"/>
      <c r="M609" s="1485"/>
      <c r="N609" s="1485"/>
      <c r="O609" s="1485"/>
      <c r="P609" s="1485"/>
      <c r="Q609" s="1485"/>
      <c r="R609" s="1485"/>
      <c r="T609" s="55" t="s">
        <v>363</v>
      </c>
      <c r="U609" t="s">
        <v>463</v>
      </c>
      <c r="Z609" s="1485">
        <f>C565</f>
        <v>0</v>
      </c>
      <c r="AA609" s="1485"/>
      <c r="AB609" s="1485"/>
      <c r="AC609" s="1485"/>
      <c r="AD609" s="1485"/>
      <c r="AE609" s="1485"/>
      <c r="AF609" s="1485"/>
      <c r="AG609" s="1485"/>
      <c r="AH609" s="1485"/>
      <c r="AI609" s="1485"/>
      <c r="AJ609" s="1485"/>
      <c r="AK609" s="1485"/>
      <c r="AZ609" s="3"/>
      <c r="BA609" s="3"/>
      <c r="BB609" s="3"/>
      <c r="BC609" s="3"/>
    </row>
    <row r="610" spans="1:55" ht="13"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3" customHeight="1">
      <c r="B611" t="s">
        <v>580</v>
      </c>
      <c r="G611" s="1409"/>
      <c r="H611" s="1409"/>
      <c r="I611" s="1409"/>
      <c r="J611" s="1409"/>
      <c r="K611" s="1409"/>
      <c r="L611" s="1409"/>
      <c r="M611" s="1409"/>
      <c r="N611" s="1409"/>
      <c r="O611" s="1409"/>
      <c r="P611" s="1409"/>
      <c r="Q611" s="1409"/>
      <c r="R611" s="1409"/>
      <c r="U611" t="s">
        <v>580</v>
      </c>
      <c r="Z611" s="1373"/>
      <c r="AA611" s="1373"/>
      <c r="AB611" s="1373"/>
      <c r="AC611" s="1373"/>
      <c r="AD611" s="1373"/>
      <c r="AE611" s="1373"/>
      <c r="AF611" s="1373"/>
      <c r="AG611" s="1373"/>
      <c r="AH611" s="1373"/>
      <c r="AI611" s="1373"/>
      <c r="AJ611" s="1373"/>
      <c r="AK611" s="1373"/>
      <c r="AZ611" s="3"/>
      <c r="BA611" s="3"/>
      <c r="BB611" s="3"/>
      <c r="BC611" s="3"/>
    </row>
    <row r="612" spans="1:55" ht="13" customHeight="1">
      <c r="B612" t="s">
        <v>17</v>
      </c>
      <c r="G612" s="1409"/>
      <c r="H612" s="1409"/>
      <c r="I612" s="1409"/>
      <c r="J612" s="1409"/>
      <c r="K612" s="1409"/>
      <c r="L612" s="1409"/>
      <c r="M612" s="1409"/>
      <c r="N612" s="1409"/>
      <c r="O612" s="1409"/>
      <c r="P612" s="1409"/>
      <c r="Q612" s="1409"/>
      <c r="R612" s="1409"/>
      <c r="U612" t="s">
        <v>17</v>
      </c>
      <c r="Z612" s="1373"/>
      <c r="AA612" s="1373"/>
      <c r="AB612" s="1373"/>
      <c r="AC612" s="1373"/>
      <c r="AD612" s="1373"/>
      <c r="AE612" s="1373"/>
      <c r="AF612" s="1373"/>
      <c r="AG612" s="1373"/>
      <c r="AH612" s="1373"/>
      <c r="AI612" s="1373"/>
      <c r="AJ612" s="1373"/>
      <c r="AK612" s="1373"/>
      <c r="AZ612" s="3"/>
      <c r="BA612" s="3"/>
      <c r="BB612" s="3"/>
      <c r="BC612" s="3"/>
    </row>
    <row r="613" spans="1:55" ht="13"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3"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3" customHeight="1">
      <c r="B615" t="s">
        <v>20</v>
      </c>
      <c r="N615" s="1417" t="s">
        <v>669</v>
      </c>
      <c r="O615" s="1417"/>
      <c r="U615" t="s">
        <v>20</v>
      </c>
      <c r="AG615" s="1417" t="s">
        <v>669</v>
      </c>
      <c r="AH615" s="1417"/>
      <c r="AU615" s="899"/>
      <c r="AV615" s="899"/>
      <c r="AW615" s="899"/>
      <c r="AX615" s="899"/>
      <c r="AY615" s="899"/>
      <c r="AZ615" s="3"/>
      <c r="BA615" s="3"/>
      <c r="BB615" s="3"/>
      <c r="BC615" s="3"/>
    </row>
    <row r="616" spans="1:55" ht="13" customHeight="1">
      <c r="AZ616" s="3"/>
      <c r="BA616" s="3"/>
      <c r="BB616" s="3"/>
      <c r="BC616" s="3"/>
    </row>
    <row r="617" spans="1:55" ht="13"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3"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2099</v>
      </c>
      <c r="AZ622" s="3"/>
      <c r="BA622" s="3"/>
      <c r="BB622" s="3"/>
      <c r="BC622" s="3"/>
    </row>
    <row r="623" spans="1:55" ht="13" customHeight="1">
      <c r="B623" s="512"/>
      <c r="C623" s="2"/>
      <c r="AU623" s="3"/>
      <c r="AZ623" s="3"/>
      <c r="BA623" s="3"/>
      <c r="BB623" s="3"/>
      <c r="BC623" s="3"/>
    </row>
    <row r="624" spans="1:55" ht="13" customHeight="1">
      <c r="B624" s="1673" t="s">
        <v>2101</v>
      </c>
      <c r="C624" s="1673"/>
      <c r="D624" s="1673"/>
      <c r="E624" s="1673"/>
      <c r="F624" s="1673"/>
      <c r="G624" s="1673"/>
      <c r="H624" s="1673"/>
      <c r="I624" s="1673"/>
      <c r="J624" s="1673"/>
      <c r="K624" s="1673"/>
      <c r="L624" s="1673"/>
      <c r="M624" s="1678" t="s">
        <v>2102</v>
      </c>
      <c r="N624" s="1678"/>
      <c r="O624" s="1678"/>
      <c r="P624" s="1678"/>
      <c r="Q624" s="1678" t="s">
        <v>1851</v>
      </c>
      <c r="R624" s="1678"/>
      <c r="S624" s="1678"/>
      <c r="T624" s="1678" t="s">
        <v>1849</v>
      </c>
      <c r="U624" s="1678"/>
      <c r="V624" s="1678"/>
      <c r="W624" s="1674" t="s">
        <v>453</v>
      </c>
      <c r="X624" s="1674"/>
      <c r="Y624" s="1674"/>
      <c r="Z624" s="1399" t="s">
        <v>2131</v>
      </c>
      <c r="AA624" s="1399"/>
      <c r="AB624" s="1400"/>
      <c r="AC624" s="1679" t="s">
        <v>1675</v>
      </c>
      <c r="AD624" s="1680"/>
      <c r="AE624" s="1681"/>
      <c r="AF624" s="1398" t="s">
        <v>1929</v>
      </c>
      <c r="AG624" s="1399"/>
      <c r="AH624" s="1399"/>
      <c r="AI624" s="1399"/>
      <c r="AJ624" s="1400"/>
      <c r="AK624" s="1594" t="s">
        <v>1930</v>
      </c>
      <c r="AL624" s="1595"/>
      <c r="AM624" s="1595"/>
      <c r="AN624" s="1596"/>
      <c r="AO624" s="1678" t="s">
        <v>454</v>
      </c>
      <c r="AP624" s="1678"/>
      <c r="AQ624" s="1678"/>
      <c r="AR624" s="1678"/>
      <c r="AS624" s="1678"/>
      <c r="AU624" s="3"/>
      <c r="AZ624" s="3"/>
      <c r="BA624" s="3"/>
      <c r="BB624" s="3"/>
      <c r="BC624" s="3"/>
    </row>
    <row r="625" spans="2:157" ht="13" customHeight="1">
      <c r="B625" s="1673"/>
      <c r="C625" s="1673"/>
      <c r="D625" s="1673"/>
      <c r="E625" s="1673"/>
      <c r="F625" s="1673"/>
      <c r="G625" s="1673"/>
      <c r="H625" s="1673"/>
      <c r="I625" s="1673"/>
      <c r="J625" s="1673"/>
      <c r="K625" s="1673"/>
      <c r="L625" s="1673"/>
      <c r="M625" s="1678"/>
      <c r="N625" s="1678"/>
      <c r="O625" s="1678"/>
      <c r="P625" s="1678"/>
      <c r="Q625" s="1678"/>
      <c r="R625" s="1678"/>
      <c r="S625" s="1678"/>
      <c r="T625" s="1678"/>
      <c r="U625" s="1678"/>
      <c r="V625" s="1678"/>
      <c r="W625" s="1674"/>
      <c r="X625" s="1674"/>
      <c r="Y625" s="1674"/>
      <c r="Z625" s="1402"/>
      <c r="AA625" s="1402"/>
      <c r="AB625" s="1403"/>
      <c r="AC625" s="1682"/>
      <c r="AD625" s="1683"/>
      <c r="AE625" s="1684"/>
      <c r="AF625" s="1401"/>
      <c r="AG625" s="1402"/>
      <c r="AH625" s="1402"/>
      <c r="AI625" s="1402"/>
      <c r="AJ625" s="1403"/>
      <c r="AK625" s="1597"/>
      <c r="AL625" s="1598"/>
      <c r="AM625" s="1598"/>
      <c r="AN625" s="1599"/>
      <c r="AO625" s="1678"/>
      <c r="AP625" s="1678"/>
      <c r="AQ625" s="1678"/>
      <c r="AR625" s="1678"/>
      <c r="AS625" s="1678"/>
      <c r="AU625" s="3"/>
      <c r="AZ625" s="3"/>
      <c r="BA625" s="3"/>
      <c r="BB625" s="3"/>
      <c r="BC625" s="3"/>
      <c r="BD625" s="3"/>
    </row>
    <row r="626" spans="2:157" ht="13" customHeight="1">
      <c r="B626" s="1673"/>
      <c r="C626" s="1673"/>
      <c r="D626" s="1673"/>
      <c r="E626" s="1673"/>
      <c r="F626" s="1673"/>
      <c r="G626" s="1673"/>
      <c r="H626" s="1673"/>
      <c r="I626" s="1673"/>
      <c r="J626" s="1673"/>
      <c r="K626" s="1673"/>
      <c r="L626" s="1673"/>
      <c r="M626" s="1678"/>
      <c r="N626" s="1678"/>
      <c r="O626" s="1678"/>
      <c r="P626" s="1678"/>
      <c r="Q626" s="1678"/>
      <c r="R626" s="1678"/>
      <c r="S626" s="1678"/>
      <c r="T626" s="1678"/>
      <c r="U626" s="1678"/>
      <c r="V626" s="1678"/>
      <c r="W626" s="1674"/>
      <c r="X626" s="1674"/>
      <c r="Y626" s="1674"/>
      <c r="Z626" s="1405"/>
      <c r="AA626" s="1405"/>
      <c r="AB626" s="1406"/>
      <c r="AC626" s="1685"/>
      <c r="AD626" s="1686"/>
      <c r="AE626" s="1687"/>
      <c r="AF626" s="1404"/>
      <c r="AG626" s="1405"/>
      <c r="AH626" s="1405"/>
      <c r="AI626" s="1405"/>
      <c r="AJ626" s="1406"/>
      <c r="AK626" s="1600"/>
      <c r="AL626" s="1601"/>
      <c r="AM626" s="1601"/>
      <c r="AN626" s="1602"/>
      <c r="AO626" s="1678"/>
      <c r="AP626" s="1678"/>
      <c r="AQ626" s="1678"/>
      <c r="AR626" s="1678"/>
      <c r="AS626" s="1678"/>
      <c r="AT626" s="3"/>
      <c r="AU626" s="3"/>
      <c r="AZ626" s="3"/>
      <c r="BA626" s="3"/>
      <c r="BB626" s="3"/>
      <c r="BC626" s="3"/>
      <c r="BD626" s="3"/>
    </row>
    <row r="627" spans="2:157" ht="13" customHeight="1">
      <c r="B627" s="51" t="s">
        <v>112</v>
      </c>
      <c r="C627" s="1481" t="s">
        <v>2716</v>
      </c>
      <c r="D627" s="1481"/>
      <c r="E627" s="1481"/>
      <c r="F627" s="1481"/>
      <c r="G627" s="1481"/>
      <c r="H627" s="1481"/>
      <c r="I627" s="1481"/>
      <c r="J627" s="1481"/>
      <c r="K627" s="1481"/>
      <c r="L627" s="1481"/>
      <c r="M627" s="1495" t="s">
        <v>2112</v>
      </c>
      <c r="N627" s="1495"/>
      <c r="O627" s="1495"/>
      <c r="P627" s="1495"/>
      <c r="Q627" s="1511">
        <f>17*12</f>
        <v>204</v>
      </c>
      <c r="R627" s="1511"/>
      <c r="S627" s="1512"/>
      <c r="T627" s="1510">
        <f>40*12</f>
        <v>480</v>
      </c>
      <c r="U627" s="1511"/>
      <c r="V627" s="1512"/>
      <c r="W627" s="1482">
        <v>6.8500000000000005E-2</v>
      </c>
      <c r="X627" s="1483"/>
      <c r="Y627" s="1484"/>
      <c r="Z627" s="1478" t="s">
        <v>2130</v>
      </c>
      <c r="AA627" s="1479"/>
      <c r="AB627" s="1480"/>
      <c r="AC627" s="1383">
        <v>1</v>
      </c>
      <c r="AD627" s="1384"/>
      <c r="AE627" s="1385"/>
      <c r="AF627" s="1492">
        <v>827990.30500000005</v>
      </c>
      <c r="AG627" s="1493"/>
      <c r="AH627" s="1493"/>
      <c r="AI627" s="1493"/>
      <c r="AJ627" s="1494"/>
      <c r="AK627" s="1486"/>
      <c r="AL627" s="1487"/>
      <c r="AM627" s="1487"/>
      <c r="AN627" s="1488"/>
      <c r="AO627" s="1642">
        <v>11300855</v>
      </c>
      <c r="AP627" s="1642"/>
      <c r="AQ627" s="1642"/>
      <c r="AR627" s="1642"/>
      <c r="AS627" s="1642"/>
      <c r="AT627" s="3"/>
      <c r="AU627" s="3"/>
      <c r="AZ627" s="3"/>
      <c r="BA627" s="3"/>
      <c r="BB627" s="3"/>
      <c r="BC627" s="3"/>
      <c r="BD627" s="3"/>
    </row>
    <row r="628" spans="2:157" ht="13" customHeight="1">
      <c r="B628" s="52" t="s">
        <v>113</v>
      </c>
      <c r="C628" s="1481" t="s">
        <v>2614</v>
      </c>
      <c r="D628" s="1481"/>
      <c r="E628" s="1481"/>
      <c r="F628" s="1481"/>
      <c r="G628" s="1481"/>
      <c r="H628" s="1481"/>
      <c r="I628" s="1481"/>
      <c r="J628" s="1481"/>
      <c r="K628" s="1481"/>
      <c r="L628" s="1481"/>
      <c r="M628" s="1495" t="s">
        <v>2114</v>
      </c>
      <c r="N628" s="1495"/>
      <c r="O628" s="1495"/>
      <c r="P628" s="1495"/>
      <c r="Q628" s="1510">
        <v>660</v>
      </c>
      <c r="R628" s="1511"/>
      <c r="S628" s="1512"/>
      <c r="T628" s="1510"/>
      <c r="U628" s="1511"/>
      <c r="V628" s="1512"/>
      <c r="W628" s="1482">
        <v>0.03</v>
      </c>
      <c r="X628" s="1483"/>
      <c r="Y628" s="1484"/>
      <c r="Z628" s="1478" t="s">
        <v>457</v>
      </c>
      <c r="AA628" s="1479"/>
      <c r="AB628" s="1480"/>
      <c r="AC628" s="1383">
        <v>2</v>
      </c>
      <c r="AD628" s="1384"/>
      <c r="AE628" s="1385"/>
      <c r="AF628" s="1492"/>
      <c r="AG628" s="1493"/>
      <c r="AH628" s="1493"/>
      <c r="AI628" s="1493"/>
      <c r="AJ628" s="1494"/>
      <c r="AK628" s="1486"/>
      <c r="AL628" s="1487"/>
      <c r="AM628" s="1487"/>
      <c r="AN628" s="1488"/>
      <c r="AO628" s="1477">
        <v>5000000</v>
      </c>
      <c r="AP628" s="1340"/>
      <c r="AQ628" s="1340"/>
      <c r="AR628" s="1340"/>
      <c r="AS628" s="1341"/>
      <c r="AT628" s="1148" t="str">
        <f>IF(AND(NOT(C627=""),C628="",NOT(C629="")),"!","")</f>
        <v/>
      </c>
      <c r="AU628" s="3"/>
      <c r="AZ628" s="3"/>
      <c r="BA628" s="3"/>
      <c r="BB628" s="3"/>
      <c r="BC628" s="3"/>
      <c r="BD628" s="3"/>
    </row>
    <row r="629" spans="2:157" ht="13" customHeight="1">
      <c r="B629" s="52" t="s">
        <v>119</v>
      </c>
      <c r="C629" s="1481" t="s">
        <v>2694</v>
      </c>
      <c r="D629" s="1481"/>
      <c r="E629" s="1481"/>
      <c r="F629" s="1481"/>
      <c r="G629" s="1481"/>
      <c r="H629" s="1481"/>
      <c r="I629" s="1481"/>
      <c r="J629" s="1481"/>
      <c r="K629" s="1481"/>
      <c r="L629" s="1481"/>
      <c r="M629" s="1495" t="s">
        <v>2114</v>
      </c>
      <c r="N629" s="1495"/>
      <c r="O629" s="1495"/>
      <c r="P629" s="1495"/>
      <c r="Q629" s="1510">
        <v>660</v>
      </c>
      <c r="R629" s="1511"/>
      <c r="S629" s="1512"/>
      <c r="T629" s="1510"/>
      <c r="U629" s="1511"/>
      <c r="V629" s="1512"/>
      <c r="W629" s="1482">
        <v>0.03</v>
      </c>
      <c r="X629" s="1483"/>
      <c r="Y629" s="1484"/>
      <c r="Z629" s="1478" t="s">
        <v>457</v>
      </c>
      <c r="AA629" s="1479"/>
      <c r="AB629" s="1480"/>
      <c r="AC629" s="1383">
        <v>2</v>
      </c>
      <c r="AD629" s="1384"/>
      <c r="AE629" s="1385"/>
      <c r="AF629" s="1492"/>
      <c r="AG629" s="1493"/>
      <c r="AH629" s="1493"/>
      <c r="AI629" s="1493"/>
      <c r="AJ629" s="1494"/>
      <c r="AK629" s="1486"/>
      <c r="AL629" s="1487"/>
      <c r="AM629" s="1487"/>
      <c r="AN629" s="1488"/>
      <c r="AO629" s="1477">
        <v>3175000</v>
      </c>
      <c r="AP629" s="1340"/>
      <c r="AQ629" s="1340"/>
      <c r="AR629" s="1340"/>
      <c r="AS629" s="1341"/>
      <c r="AT629" s="1148" t="str">
        <f t="shared" ref="AT629:AT638" si="1">IF(AND(NOT(C628=""),C629="",NOT(C630="")),"!","")</f>
        <v/>
      </c>
      <c r="AU629" s="3"/>
      <c r="AZ629" s="3"/>
      <c r="BA629" s="3"/>
      <c r="BB629" s="3"/>
      <c r="BC629" s="3"/>
      <c r="BD629" s="3"/>
    </row>
    <row r="630" spans="2:157" ht="13" customHeight="1">
      <c r="B630" s="52" t="s">
        <v>581</v>
      </c>
      <c r="C630" s="1491" t="s">
        <v>2320</v>
      </c>
      <c r="D630" s="1491"/>
      <c r="E630" s="1491"/>
      <c r="F630" s="1491"/>
      <c r="G630" s="1491"/>
      <c r="H630" s="1491"/>
      <c r="I630" s="1491"/>
      <c r="J630" s="1491"/>
      <c r="K630" s="1491"/>
      <c r="L630" s="1491"/>
      <c r="M630" s="1495" t="s">
        <v>2105</v>
      </c>
      <c r="N630" s="1495"/>
      <c r="O630" s="1495"/>
      <c r="P630" s="1495"/>
      <c r="Q630" s="1510"/>
      <c r="R630" s="1511"/>
      <c r="S630" s="1512"/>
      <c r="T630" s="1510"/>
      <c r="U630" s="1511"/>
      <c r="V630" s="1512"/>
      <c r="W630" s="1482"/>
      <c r="X630" s="1483"/>
      <c r="Y630" s="1484"/>
      <c r="Z630" s="1478" t="s">
        <v>458</v>
      </c>
      <c r="AA630" s="1479"/>
      <c r="AB630" s="1480"/>
      <c r="AC630" s="1383"/>
      <c r="AD630" s="1384"/>
      <c r="AE630" s="1385"/>
      <c r="AF630" s="1492"/>
      <c r="AG630" s="1493"/>
      <c r="AH630" s="1493"/>
      <c r="AI630" s="1493"/>
      <c r="AJ630" s="1494"/>
      <c r="AK630" s="1486"/>
      <c r="AL630" s="1487"/>
      <c r="AM630" s="1487"/>
      <c r="AN630" s="1488"/>
      <c r="AO630" s="1477">
        <v>3976032</v>
      </c>
      <c r="AP630" s="1340"/>
      <c r="AQ630" s="1340"/>
      <c r="AR630" s="1340"/>
      <c r="AS630" s="1341"/>
      <c r="AT630" s="1148" t="str">
        <f t="shared" si="1"/>
        <v/>
      </c>
      <c r="AU630" s="3"/>
      <c r="AZ630" s="3"/>
      <c r="BA630" s="3"/>
      <c r="BB630" s="3"/>
      <c r="BC630" s="3"/>
      <c r="BD630" s="3"/>
    </row>
    <row r="631" spans="2:157" ht="13" customHeight="1">
      <c r="B631" s="52" t="s">
        <v>763</v>
      </c>
      <c r="C631" s="1481" t="s">
        <v>2755</v>
      </c>
      <c r="D631" s="1491"/>
      <c r="E631" s="1491"/>
      <c r="F631" s="1491"/>
      <c r="G631" s="1491"/>
      <c r="H631" s="1491"/>
      <c r="I631" s="1491"/>
      <c r="J631" s="1491"/>
      <c r="K631" s="1491"/>
      <c r="L631" s="1491"/>
      <c r="M631" s="1495" t="s">
        <v>2114</v>
      </c>
      <c r="N631" s="1495"/>
      <c r="O631" s="1495"/>
      <c r="P631" s="1495"/>
      <c r="Q631" s="1510"/>
      <c r="R631" s="1511"/>
      <c r="S631" s="1512"/>
      <c r="T631" s="1510"/>
      <c r="U631" s="1511"/>
      <c r="V631" s="1512"/>
      <c r="W631" s="1482"/>
      <c r="X631" s="1483"/>
      <c r="Y631" s="1484"/>
      <c r="Z631" s="1478" t="s">
        <v>457</v>
      </c>
      <c r="AA631" s="1479"/>
      <c r="AB631" s="1480"/>
      <c r="AC631" s="1383">
        <v>2</v>
      </c>
      <c r="AD631" s="1384"/>
      <c r="AE631" s="1385"/>
      <c r="AF631" s="1492"/>
      <c r="AG631" s="1493"/>
      <c r="AH631" s="1493"/>
      <c r="AI631" s="1493"/>
      <c r="AJ631" s="1494"/>
      <c r="AK631" s="1486"/>
      <c r="AL631" s="1487"/>
      <c r="AM631" s="1487"/>
      <c r="AN631" s="1488"/>
      <c r="AO631" s="1477">
        <v>100000</v>
      </c>
      <c r="AP631" s="1340"/>
      <c r="AQ631" s="1340"/>
      <c r="AR631" s="1340"/>
      <c r="AS631" s="1341"/>
      <c r="AT631" s="1148" t="str">
        <f t="shared" si="1"/>
        <v/>
      </c>
      <c r="AU631" s="3"/>
      <c r="AZ631" s="3"/>
      <c r="BA631" s="3"/>
      <c r="BB631" s="3"/>
      <c r="BC631" s="3"/>
      <c r="BD631" s="3"/>
    </row>
    <row r="632" spans="2:157" ht="13" customHeight="1">
      <c r="B632" s="52" t="s">
        <v>584</v>
      </c>
      <c r="C632" s="1491"/>
      <c r="D632" s="1491"/>
      <c r="E632" s="1491"/>
      <c r="F632" s="1491"/>
      <c r="G632" s="1491"/>
      <c r="H632" s="1491"/>
      <c r="I632" s="1491"/>
      <c r="J632" s="1491"/>
      <c r="K632" s="1491"/>
      <c r="L632" s="1491"/>
      <c r="M632" s="1495" t="s">
        <v>1183</v>
      </c>
      <c r="N632" s="1495"/>
      <c r="O632" s="1495"/>
      <c r="P632" s="1495"/>
      <c r="Q632" s="1510"/>
      <c r="R632" s="1511"/>
      <c r="S632" s="1512"/>
      <c r="T632" s="1510"/>
      <c r="U632" s="1511"/>
      <c r="V632" s="1512"/>
      <c r="W632" s="1482"/>
      <c r="X632" s="1483"/>
      <c r="Y632" s="1484"/>
      <c r="Z632" s="1478" t="s">
        <v>1183</v>
      </c>
      <c r="AA632" s="1479"/>
      <c r="AB632" s="1480"/>
      <c r="AC632" s="1383"/>
      <c r="AD632" s="1384"/>
      <c r="AE632" s="1385"/>
      <c r="AF632" s="1492"/>
      <c r="AG632" s="1493"/>
      <c r="AH632" s="1493"/>
      <c r="AI632" s="1493"/>
      <c r="AJ632" s="1494"/>
      <c r="AK632" s="1486"/>
      <c r="AL632" s="1487"/>
      <c r="AM632" s="1487"/>
      <c r="AN632" s="1488"/>
      <c r="AO632" s="1477"/>
      <c r="AP632" s="1340"/>
      <c r="AQ632" s="1340"/>
      <c r="AR632" s="1340"/>
      <c r="AS632" s="1341"/>
      <c r="AT632" s="1148" t="str">
        <f t="shared" si="1"/>
        <v/>
      </c>
      <c r="AU632" s="3"/>
      <c r="AZ632" s="3"/>
      <c r="BA632" s="3"/>
      <c r="BB632" s="3"/>
      <c r="BC632" s="3"/>
      <c r="BD632" s="3"/>
    </row>
    <row r="633" spans="2:157" ht="13" customHeight="1">
      <c r="B633" s="52" t="s">
        <v>455</v>
      </c>
      <c r="C633" s="1491"/>
      <c r="D633" s="1491"/>
      <c r="E633" s="1491"/>
      <c r="F633" s="1491"/>
      <c r="G633" s="1491"/>
      <c r="H633" s="1491"/>
      <c r="I633" s="1491"/>
      <c r="J633" s="1491"/>
      <c r="K633" s="1491"/>
      <c r="L633" s="1491"/>
      <c r="M633" s="1495" t="s">
        <v>1183</v>
      </c>
      <c r="N633" s="1495"/>
      <c r="O633" s="1495"/>
      <c r="P633" s="1495"/>
      <c r="Q633" s="1510"/>
      <c r="R633" s="1511"/>
      <c r="S633" s="1512"/>
      <c r="T633" s="1510"/>
      <c r="U633" s="1511"/>
      <c r="V633" s="1512"/>
      <c r="W633" s="1482"/>
      <c r="X633" s="1483"/>
      <c r="Y633" s="1484"/>
      <c r="Z633" s="1478" t="s">
        <v>1183</v>
      </c>
      <c r="AA633" s="1479"/>
      <c r="AB633" s="1480"/>
      <c r="AC633" s="1383"/>
      <c r="AD633" s="1384"/>
      <c r="AE633" s="1385"/>
      <c r="AF633" s="1492"/>
      <c r="AG633" s="1493"/>
      <c r="AH633" s="1493"/>
      <c r="AI633" s="1493"/>
      <c r="AJ633" s="1494"/>
      <c r="AK633" s="1486"/>
      <c r="AL633" s="1487"/>
      <c r="AM633" s="1487"/>
      <c r="AN633" s="1488"/>
      <c r="AO633" s="1477"/>
      <c r="AP633" s="1340"/>
      <c r="AQ633" s="1340"/>
      <c r="AR633" s="1340"/>
      <c r="AS633" s="1341"/>
      <c r="AT633" s="1148" t="str">
        <f t="shared" si="1"/>
        <v/>
      </c>
      <c r="AU633" s="3"/>
      <c r="AV633" s="3"/>
      <c r="AW633" s="3"/>
      <c r="AX633" s="3"/>
      <c r="AY633" s="3"/>
      <c r="AZ633" s="3"/>
      <c r="BA633" s="3"/>
      <c r="BB633" s="3"/>
      <c r="BC633" s="3"/>
      <c r="BD633" s="3"/>
    </row>
    <row r="634" spans="2:157" ht="13" customHeight="1">
      <c r="B634" s="52" t="s">
        <v>456</v>
      </c>
      <c r="C634" s="1491"/>
      <c r="D634" s="1491"/>
      <c r="E634" s="1491"/>
      <c r="F634" s="1491"/>
      <c r="G634" s="1491"/>
      <c r="H634" s="1491"/>
      <c r="I634" s="1491"/>
      <c r="J634" s="1491"/>
      <c r="K634" s="1491"/>
      <c r="L634" s="1491"/>
      <c r="M634" s="1495" t="s">
        <v>1183</v>
      </c>
      <c r="N634" s="1495"/>
      <c r="O634" s="1495"/>
      <c r="P634" s="1495"/>
      <c r="Q634" s="1510"/>
      <c r="R634" s="1511"/>
      <c r="S634" s="1512"/>
      <c r="T634" s="1510"/>
      <c r="U634" s="1511"/>
      <c r="V634" s="1512"/>
      <c r="W634" s="1482"/>
      <c r="X634" s="1483"/>
      <c r="Y634" s="1484"/>
      <c r="Z634" s="1478" t="s">
        <v>1183</v>
      </c>
      <c r="AA634" s="1479"/>
      <c r="AB634" s="1480"/>
      <c r="AC634" s="1383"/>
      <c r="AD634" s="1384"/>
      <c r="AE634" s="1385"/>
      <c r="AF634" s="1492"/>
      <c r="AG634" s="1493"/>
      <c r="AH634" s="1493"/>
      <c r="AI634" s="1493"/>
      <c r="AJ634" s="1494"/>
      <c r="AK634" s="1486"/>
      <c r="AL634" s="1487"/>
      <c r="AM634" s="1487"/>
      <c r="AN634" s="1488"/>
      <c r="AO634" s="1477"/>
      <c r="AP634" s="1340"/>
      <c r="AQ634" s="1340"/>
      <c r="AR634" s="1340"/>
      <c r="AS634" s="1341"/>
      <c r="AT634" s="1148" t="str">
        <f t="shared" si="1"/>
        <v/>
      </c>
      <c r="AU634" s="3"/>
      <c r="AV634" s="3"/>
      <c r="AW634" s="3"/>
      <c r="AX634" s="3"/>
      <c r="AY634" s="3"/>
      <c r="AZ634" s="3"/>
      <c r="BA634" s="3" t="s">
        <v>1183</v>
      </c>
      <c r="BB634" s="3"/>
      <c r="BC634" s="3"/>
      <c r="BD634" s="3"/>
    </row>
    <row r="635" spans="2:157" ht="13" customHeight="1">
      <c r="B635" s="52" t="s">
        <v>461</v>
      </c>
      <c r="C635" s="1491"/>
      <c r="D635" s="1491"/>
      <c r="E635" s="1491"/>
      <c r="F635" s="1491"/>
      <c r="G635" s="1491"/>
      <c r="H635" s="1491"/>
      <c r="I635" s="1491"/>
      <c r="J635" s="1491"/>
      <c r="K635" s="1491"/>
      <c r="L635" s="1491"/>
      <c r="M635" s="1495" t="s">
        <v>1183</v>
      </c>
      <c r="N635" s="1495"/>
      <c r="O635" s="1495"/>
      <c r="P635" s="1495"/>
      <c r="Q635" s="1510"/>
      <c r="R635" s="1511"/>
      <c r="S635" s="1512"/>
      <c r="T635" s="1510"/>
      <c r="U635" s="1511"/>
      <c r="V635" s="1512"/>
      <c r="W635" s="1482"/>
      <c r="X635" s="1483"/>
      <c r="Y635" s="1484"/>
      <c r="Z635" s="1478" t="s">
        <v>1183</v>
      </c>
      <c r="AA635" s="1479"/>
      <c r="AB635" s="1480"/>
      <c r="AC635" s="1383"/>
      <c r="AD635" s="1384"/>
      <c r="AE635" s="1385"/>
      <c r="AF635" s="1492"/>
      <c r="AG635" s="1493"/>
      <c r="AH635" s="1493"/>
      <c r="AI635" s="1493"/>
      <c r="AJ635" s="1494"/>
      <c r="AK635" s="1486"/>
      <c r="AL635" s="1487"/>
      <c r="AM635" s="1487"/>
      <c r="AN635" s="1488"/>
      <c r="AO635" s="1477"/>
      <c r="AP635" s="1340"/>
      <c r="AQ635" s="1340"/>
      <c r="AR635" s="1340"/>
      <c r="AS635" s="134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2">EZ718*(CP718/$CP$753)</f>
        <v>#VALUE!</v>
      </c>
      <c r="DY635" s="1371"/>
      <c r="DZ635" s="1371"/>
      <c r="EA635" s="1371"/>
      <c r="EB635" s="1371"/>
      <c r="EC635" s="1371">
        <f t="shared" ref="EC635:EC669" si="3">FE718*(CU718/$CU$753)</f>
        <v>238.21679999999998</v>
      </c>
      <c r="ED635" s="1371"/>
      <c r="EE635" s="1371"/>
      <c r="EF635" s="1371"/>
      <c r="EG635" s="1371"/>
      <c r="EH635" s="1371" t="e">
        <f t="shared" ref="EH635:EH669" si="4">FJ718*(CZ718/$CZ$753)</f>
        <v>#VALUE!</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3" customHeight="1">
      <c r="B636" s="52" t="s">
        <v>646</v>
      </c>
      <c r="C636" s="1491"/>
      <c r="D636" s="1491"/>
      <c r="E636" s="1491"/>
      <c r="F636" s="1491"/>
      <c r="G636" s="1491"/>
      <c r="H636" s="1491"/>
      <c r="I636" s="1491"/>
      <c r="J636" s="1491"/>
      <c r="K636" s="1491"/>
      <c r="L636" s="1491"/>
      <c r="M636" s="1495" t="s">
        <v>1183</v>
      </c>
      <c r="N636" s="1495"/>
      <c r="O636" s="1495"/>
      <c r="P636" s="1495"/>
      <c r="Q636" s="1510"/>
      <c r="R636" s="1511"/>
      <c r="S636" s="1512"/>
      <c r="T636" s="1510"/>
      <c r="U636" s="1511"/>
      <c r="V636" s="1512"/>
      <c r="W636" s="1482"/>
      <c r="X636" s="1483"/>
      <c r="Y636" s="1484"/>
      <c r="Z636" s="1478" t="s">
        <v>1183</v>
      </c>
      <c r="AA636" s="1479"/>
      <c r="AB636" s="1480"/>
      <c r="AC636" s="1383"/>
      <c r="AD636" s="1384"/>
      <c r="AE636" s="1385"/>
      <c r="AF636" s="1492"/>
      <c r="AG636" s="1493"/>
      <c r="AH636" s="1493"/>
      <c r="AI636" s="1493"/>
      <c r="AJ636" s="1494"/>
      <c r="AK636" s="1486"/>
      <c r="AL636" s="1487"/>
      <c r="AM636" s="1487"/>
      <c r="AN636" s="1488"/>
      <c r="AO636" s="1477"/>
      <c r="AP636" s="1340"/>
      <c r="AQ636" s="1340"/>
      <c r="AR636" s="1340"/>
      <c r="AS636" s="134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2"/>
        <v>#VALUE!</v>
      </c>
      <c r="DY636" s="1371"/>
      <c r="DZ636" s="1371"/>
      <c r="EA636" s="1371"/>
      <c r="EB636" s="1371"/>
      <c r="EC636" s="1371">
        <f t="shared" si="3"/>
        <v>1013.9091428571428</v>
      </c>
      <c r="ED636" s="1371"/>
      <c r="EE636" s="1371"/>
      <c r="EF636" s="1371"/>
      <c r="EG636" s="1371"/>
      <c r="EH636" s="1371" t="e">
        <f t="shared" si="4"/>
        <v>#VALUE!</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3" customHeight="1">
      <c r="B637" s="52" t="s">
        <v>362</v>
      </c>
      <c r="C637" s="1491"/>
      <c r="D637" s="1491"/>
      <c r="E637" s="1491"/>
      <c r="F637" s="1491"/>
      <c r="G637" s="1491"/>
      <c r="H637" s="1491"/>
      <c r="I637" s="1491"/>
      <c r="J637" s="1491"/>
      <c r="K637" s="1491"/>
      <c r="L637" s="1491"/>
      <c r="M637" s="1495" t="s">
        <v>1183</v>
      </c>
      <c r="N637" s="1495"/>
      <c r="O637" s="1495"/>
      <c r="P637" s="1495"/>
      <c r="Q637" s="1510"/>
      <c r="R637" s="1511"/>
      <c r="S637" s="1512"/>
      <c r="T637" s="1510"/>
      <c r="U637" s="1511"/>
      <c r="V637" s="1512"/>
      <c r="W637" s="1482"/>
      <c r="X637" s="1483"/>
      <c r="Y637" s="1484"/>
      <c r="Z637" s="1478" t="s">
        <v>1183</v>
      </c>
      <c r="AA637" s="1479"/>
      <c r="AB637" s="1480"/>
      <c r="AC637" s="1383"/>
      <c r="AD637" s="1384"/>
      <c r="AE637" s="1385"/>
      <c r="AF637" s="1492"/>
      <c r="AG637" s="1493"/>
      <c r="AH637" s="1493"/>
      <c r="AI637" s="1493"/>
      <c r="AJ637" s="1494"/>
      <c r="AK637" s="1486"/>
      <c r="AL637" s="1487"/>
      <c r="AM637" s="1487"/>
      <c r="AN637" s="1488"/>
      <c r="AO637" s="1477"/>
      <c r="AP637" s="1340"/>
      <c r="AQ637" s="1340"/>
      <c r="AR637" s="1340"/>
      <c r="AS637" s="1341"/>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f t="shared" si="3"/>
        <v>167.34674285714286</v>
      </c>
      <c r="ED637" s="1371"/>
      <c r="EE637" s="1371"/>
      <c r="EF637" s="1371"/>
      <c r="EG637" s="1371"/>
      <c r="EH637" s="1371" t="e">
        <f t="shared" si="4"/>
        <v>#VALUE!</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3" customHeight="1">
      <c r="B638" s="52" t="s">
        <v>363</v>
      </c>
      <c r="C638" s="1491"/>
      <c r="D638" s="1491"/>
      <c r="E638" s="1491"/>
      <c r="F638" s="1491"/>
      <c r="G638" s="1491"/>
      <c r="H638" s="1491"/>
      <c r="I638" s="1491"/>
      <c r="J638" s="1491"/>
      <c r="K638" s="1491"/>
      <c r="L638" s="1491"/>
      <c r="M638" s="1495" t="s">
        <v>1183</v>
      </c>
      <c r="N638" s="1495"/>
      <c r="O638" s="1495"/>
      <c r="P638" s="1495"/>
      <c r="Q638" s="1510"/>
      <c r="R638" s="1511"/>
      <c r="S638" s="1512"/>
      <c r="T638" s="1510"/>
      <c r="U638" s="1511"/>
      <c r="V638" s="1512"/>
      <c r="W638" s="1482"/>
      <c r="X638" s="1483"/>
      <c r="Y638" s="1484"/>
      <c r="Z638" s="1478" t="s">
        <v>1183</v>
      </c>
      <c r="AA638" s="1479"/>
      <c r="AB638" s="1480"/>
      <c r="AC638" s="1383"/>
      <c r="AD638" s="1384"/>
      <c r="AE638" s="1385"/>
      <c r="AF638" s="1492"/>
      <c r="AG638" s="1493"/>
      <c r="AH638" s="1493"/>
      <c r="AI638" s="1493"/>
      <c r="AJ638" s="1494"/>
      <c r="AK638" s="1486"/>
      <c r="AL638" s="1487"/>
      <c r="AM638" s="1487"/>
      <c r="AN638" s="1488"/>
      <c r="AO638" s="1477"/>
      <c r="AP638" s="1340"/>
      <c r="AQ638" s="1340"/>
      <c r="AR638" s="1340"/>
      <c r="AS638" s="1341"/>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f t="shared" si="3"/>
        <v>168.834</v>
      </c>
      <c r="ED638" s="1371"/>
      <c r="EE638" s="1371"/>
      <c r="EF638" s="1371"/>
      <c r="EG638" s="1371"/>
      <c r="EH638" s="1371" t="e">
        <f t="shared" si="4"/>
        <v>#VALUE!</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3"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4">
        <f>SUM(AO627:AR638)</f>
        <v>23551887</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t="e">
        <f t="shared" si="3"/>
        <v>#VALUE!</v>
      </c>
      <c r="ED639" s="1371"/>
      <c r="EE639" s="1371"/>
      <c r="EF639" s="1371"/>
      <c r="EG639" s="1371"/>
      <c r="EH639" s="1371">
        <f t="shared" si="4"/>
        <v>978.60714285714289</v>
      </c>
      <c r="EI639" s="1371"/>
      <c r="EJ639" s="1371"/>
      <c r="EK639" s="1371"/>
      <c r="EL639" s="1371"/>
      <c r="EM639" s="1371" t="e">
        <f t="shared" si="5"/>
        <v>#VALUE!</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3" customHeight="1">
      <c r="B640" s="1410" t="s">
        <v>267</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7">
        <f>21977623+10440000</f>
        <v>32417623</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t="e">
        <f t="shared" si="3"/>
        <v>#VALUE!</v>
      </c>
      <c r="ED640" s="1371"/>
      <c r="EE640" s="1371"/>
      <c r="EF640" s="1371"/>
      <c r="EG640" s="1371"/>
      <c r="EH640" s="1371">
        <f t="shared" si="4"/>
        <v>756.78571428571433</v>
      </c>
      <c r="EI640" s="1371"/>
      <c r="EJ640" s="1371"/>
      <c r="EK640" s="1371"/>
      <c r="EL640" s="1371"/>
      <c r="EM640" s="1371" t="e">
        <f t="shared" si="5"/>
        <v>#VALUE!</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3" customHeight="1">
      <c r="B641" s="1836" t="s">
        <v>268</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7"/>
      <c r="AO641" s="1474">
        <f>AO639+AO640</f>
        <v>55969510</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t="e">
        <f t="shared" si="3"/>
        <v>#VALUE!</v>
      </c>
      <c r="ED641" s="1371"/>
      <c r="EE641" s="1371"/>
      <c r="EF641" s="1371"/>
      <c r="EG641" s="1371"/>
      <c r="EH641" s="1371">
        <f t="shared" si="4"/>
        <v>187.22485714285713</v>
      </c>
      <c r="EI641" s="1371"/>
      <c r="EJ641" s="1371"/>
      <c r="EK641" s="1371"/>
      <c r="EL641" s="1371"/>
      <c r="EM641" s="1371" t="e">
        <f t="shared" si="5"/>
        <v>#VALUE!</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f t="shared" si="4"/>
        <v>143.14285714285714</v>
      </c>
      <c r="EI642" s="1371"/>
      <c r="EJ642" s="1371"/>
      <c r="EK642" s="1371"/>
      <c r="EL642" s="1371"/>
      <c r="EM642" s="1371" t="e">
        <f t="shared" si="5"/>
        <v>#VALUE!</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3" customHeight="1">
      <c r="A643" s="55" t="s">
        <v>112</v>
      </c>
      <c r="B643" t="s">
        <v>463</v>
      </c>
      <c r="G643" s="1485" t="str">
        <f>C627</f>
        <v>Citibank Permanent Loan</v>
      </c>
      <c r="H643" s="1485"/>
      <c r="I643" s="1485"/>
      <c r="J643" s="1485"/>
      <c r="K643" s="1485"/>
      <c r="L643" s="1485"/>
      <c r="M643" s="1485"/>
      <c r="N643" s="1485"/>
      <c r="O643" s="1485"/>
      <c r="P643" s="1485"/>
      <c r="Q643" s="1485"/>
      <c r="R643" s="1485"/>
      <c r="S643" s="8"/>
      <c r="T643" s="55" t="s">
        <v>113</v>
      </c>
      <c r="U643" t="s">
        <v>463</v>
      </c>
      <c r="Z643" s="1485" t="str">
        <f>C628</f>
        <v>San Diego Housing Commission</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f t="shared" si="5"/>
        <v>1347.7647058823529</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3" customHeight="1">
      <c r="A644" s="22"/>
      <c r="B644" t="s">
        <v>85</v>
      </c>
      <c r="G644" s="1409" t="s">
        <v>2736</v>
      </c>
      <c r="H644" s="1409"/>
      <c r="I644" s="1409"/>
      <c r="J644" s="1409"/>
      <c r="K644" s="1409"/>
      <c r="L644" s="1409"/>
      <c r="M644" s="1409"/>
      <c r="N644" s="1409"/>
      <c r="O644" s="1409"/>
      <c r="P644" s="1409"/>
      <c r="Q644" s="1409"/>
      <c r="R644" s="1409"/>
      <c r="S644" s="8"/>
      <c r="T644" s="22"/>
      <c r="U644" t="s">
        <v>85</v>
      </c>
      <c r="Z644" s="1409" t="s">
        <v>2678</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f t="shared" si="5"/>
        <v>715.88235294117646</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3" customHeight="1">
      <c r="A645" s="22"/>
      <c r="B645" t="s">
        <v>580</v>
      </c>
      <c r="G645" s="1409" t="s">
        <v>2737</v>
      </c>
      <c r="H645" s="1409"/>
      <c r="I645" s="1409"/>
      <c r="J645" s="1409"/>
      <c r="K645" s="1409"/>
      <c r="L645" s="1409"/>
      <c r="M645" s="1409"/>
      <c r="N645" s="1409"/>
      <c r="O645" s="1409"/>
      <c r="P645" s="1409"/>
      <c r="Q645" s="1409"/>
      <c r="R645" s="1409"/>
      <c r="T645" s="22"/>
      <c r="U645" t="s">
        <v>580</v>
      </c>
      <c r="Z645" s="1373" t="s">
        <v>2679</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f t="shared" si="5"/>
        <v>235.76470588235293</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3" customHeight="1">
      <c r="A646" s="22"/>
      <c r="B646" t="s">
        <v>17</v>
      </c>
      <c r="G646" s="1409" t="s">
        <v>2738</v>
      </c>
      <c r="H646" s="1409"/>
      <c r="I646" s="1409"/>
      <c r="J646" s="1409"/>
      <c r="K646" s="1409"/>
      <c r="L646" s="1409"/>
      <c r="M646" s="1409"/>
      <c r="N646" s="1409"/>
      <c r="O646" s="1409"/>
      <c r="P646" s="1409"/>
      <c r="Q646" s="1409"/>
      <c r="R646" s="1409"/>
      <c r="S646" s="8"/>
      <c r="T646" s="22"/>
      <c r="U646" t="s">
        <v>17</v>
      </c>
      <c r="Z646" s="1373" t="s">
        <v>2705</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f t="shared" si="5"/>
        <v>134.64094117647059</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3" customHeight="1">
      <c r="A647" s="22"/>
      <c r="B647" t="s">
        <v>316</v>
      </c>
      <c r="G647" s="1489" t="s">
        <v>2739</v>
      </c>
      <c r="H647" s="1489"/>
      <c r="I647" s="1489"/>
      <c r="J647" s="1489"/>
      <c r="K647" s="1489"/>
      <c r="L647" s="1489"/>
      <c r="O647" s="33" t="s">
        <v>206</v>
      </c>
      <c r="P647" s="1473"/>
      <c r="Q647" s="1473"/>
      <c r="R647" s="1473"/>
      <c r="S647" s="10"/>
      <c r="T647" s="22"/>
      <c r="U647" t="s">
        <v>316</v>
      </c>
      <c r="Z647" s="1532" t="s">
        <v>2706</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3" customHeight="1">
      <c r="A648" s="22"/>
      <c r="B648" t="s">
        <v>18</v>
      </c>
      <c r="H648" s="1409" t="s">
        <v>2744</v>
      </c>
      <c r="I648" s="1409"/>
      <c r="J648" s="1409"/>
      <c r="K648" s="1409"/>
      <c r="L648" s="1409"/>
      <c r="M648" s="1409"/>
      <c r="N648" s="1409"/>
      <c r="O648" s="1409"/>
      <c r="P648" s="1409"/>
      <c r="Q648" s="1409"/>
      <c r="R648" s="1409"/>
      <c r="S648" s="8"/>
      <c r="T648" s="22"/>
      <c r="U648" t="s">
        <v>18</v>
      </c>
      <c r="AA648" s="1409" t="s">
        <v>2704</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3" customHeight="1">
      <c r="A649" s="22"/>
      <c r="B649" t="s">
        <v>20</v>
      </c>
      <c r="N649" s="1417" t="s">
        <v>545</v>
      </c>
      <c r="O649" s="1417"/>
      <c r="T649" s="22"/>
      <c r="U649" t="s">
        <v>20</v>
      </c>
      <c r="AG649" s="1417" t="s">
        <v>545</v>
      </c>
      <c r="AH649" s="1417"/>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3"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3" customHeight="1">
      <c r="A651" s="55" t="s">
        <v>119</v>
      </c>
      <c r="B651" t="s">
        <v>463</v>
      </c>
      <c r="G651" s="1485" t="str">
        <f>C629</f>
        <v>City of San Diego Bridge To Home</v>
      </c>
      <c r="H651" s="1485"/>
      <c r="I651" s="1485"/>
      <c r="J651" s="1485"/>
      <c r="K651" s="1485"/>
      <c r="L651" s="1485"/>
      <c r="M651" s="1485"/>
      <c r="N651" s="1485"/>
      <c r="O651" s="1485"/>
      <c r="P651" s="1485"/>
      <c r="Q651" s="1485"/>
      <c r="R651" s="1485"/>
      <c r="T651" s="55" t="s">
        <v>581</v>
      </c>
      <c r="U651" t="s">
        <v>463</v>
      </c>
      <c r="Z651" s="1485" t="str">
        <f>C630</f>
        <v>Deferred Developer Fee</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3" customHeight="1">
      <c r="A652" s="22"/>
      <c r="B652" t="s">
        <v>85</v>
      </c>
      <c r="G652" s="1409" t="s">
        <v>2701</v>
      </c>
      <c r="H652" s="1409"/>
      <c r="I652" s="1409"/>
      <c r="J652" s="1409"/>
      <c r="K652" s="1409"/>
      <c r="L652" s="1409"/>
      <c r="M652" s="1409"/>
      <c r="N652" s="1409"/>
      <c r="O652" s="1409"/>
      <c r="P652" s="1409"/>
      <c r="Q652" s="1409"/>
      <c r="R652" s="1409"/>
      <c r="T652" s="22"/>
      <c r="U652" t="s">
        <v>85</v>
      </c>
      <c r="Z652" s="1409" t="s">
        <v>2707</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3" customHeight="1">
      <c r="A653" s="22"/>
      <c r="B653" t="s">
        <v>580</v>
      </c>
      <c r="G653" s="1373" t="s">
        <v>2679</v>
      </c>
      <c r="H653" s="1373"/>
      <c r="I653" s="1373"/>
      <c r="J653" s="1373"/>
      <c r="K653" s="1373"/>
      <c r="L653" s="1373"/>
      <c r="M653" s="1373"/>
      <c r="N653" s="1373"/>
      <c r="O653" s="1373"/>
      <c r="P653" s="1373"/>
      <c r="Q653" s="1373"/>
      <c r="R653" s="1373"/>
      <c r="T653" s="22"/>
      <c r="U653" t="s">
        <v>580</v>
      </c>
      <c r="Z653" s="1373" t="s">
        <v>2708</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3" customHeight="1">
      <c r="A654" s="22"/>
      <c r="B654" t="s">
        <v>17</v>
      </c>
      <c r="G654" s="1373" t="s">
        <v>2702</v>
      </c>
      <c r="H654" s="1373"/>
      <c r="I654" s="1373"/>
      <c r="J654" s="1373"/>
      <c r="K654" s="1373"/>
      <c r="L654" s="1373"/>
      <c r="M654" s="1373"/>
      <c r="N654" s="1373"/>
      <c r="O654" s="1373"/>
      <c r="P654" s="1373"/>
      <c r="Q654" s="1373"/>
      <c r="R654" s="1373"/>
      <c r="T654" s="22"/>
      <c r="U654" t="s">
        <v>17</v>
      </c>
      <c r="Z654" s="1373" t="s">
        <v>2612</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3" customHeight="1">
      <c r="A655" s="22"/>
      <c r="B655" t="s">
        <v>316</v>
      </c>
      <c r="G655" s="1489" t="s">
        <v>2703</v>
      </c>
      <c r="H655" s="1489"/>
      <c r="I655" s="1489"/>
      <c r="J655" s="1489"/>
      <c r="K655" s="1489"/>
      <c r="L655" s="1489"/>
      <c r="O655" s="33" t="s">
        <v>206</v>
      </c>
      <c r="P655" s="1473"/>
      <c r="Q655" s="1473"/>
      <c r="R655" s="1473"/>
      <c r="T655" s="22"/>
      <c r="U655" t="s">
        <v>316</v>
      </c>
      <c r="Z655" s="1489" t="s">
        <v>2626</v>
      </c>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3" customHeight="1">
      <c r="A656" s="22"/>
      <c r="B656" t="s">
        <v>18</v>
      </c>
      <c r="H656" s="1409" t="s">
        <v>2704</v>
      </c>
      <c r="I656" s="1409"/>
      <c r="J656" s="1409"/>
      <c r="K656" s="1409"/>
      <c r="L656" s="1409"/>
      <c r="M656" s="1409"/>
      <c r="N656" s="1409"/>
      <c r="O656" s="1409"/>
      <c r="P656" s="1409"/>
      <c r="Q656" s="1409"/>
      <c r="R656" s="1409"/>
      <c r="T656" s="22"/>
      <c r="U656" t="s">
        <v>18</v>
      </c>
      <c r="AA656" s="1409" t="s">
        <v>2709</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3" customHeight="1">
      <c r="A657" s="22"/>
      <c r="B657" t="s">
        <v>20</v>
      </c>
      <c r="N657" s="1417" t="s">
        <v>545</v>
      </c>
      <c r="O657" s="1417"/>
      <c r="T657" s="22"/>
      <c r="U657" t="s">
        <v>20</v>
      </c>
      <c r="AG657" s="1417" t="s">
        <v>545</v>
      </c>
      <c r="AH657" s="1417"/>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3"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3" customHeight="1">
      <c r="A659" s="55" t="s">
        <v>763</v>
      </c>
      <c r="B659" t="s">
        <v>463</v>
      </c>
      <c r="G659" s="1485" t="str">
        <f>C631</f>
        <v>Safehold TI Allowance</v>
      </c>
      <c r="H659" s="1485"/>
      <c r="I659" s="1485"/>
      <c r="J659" s="1485"/>
      <c r="K659" s="1485"/>
      <c r="L659" s="1485"/>
      <c r="M659" s="1485"/>
      <c r="N659" s="1485"/>
      <c r="O659" s="1485"/>
      <c r="P659" s="1485"/>
      <c r="Q659" s="1485"/>
      <c r="R659" s="1485"/>
      <c r="T659" s="55" t="s">
        <v>584</v>
      </c>
      <c r="U659" t="s">
        <v>463</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3" customHeight="1">
      <c r="A660" s="22"/>
      <c r="B660" t="s">
        <v>85</v>
      </c>
      <c r="G660" s="1409" t="s">
        <v>2741</v>
      </c>
      <c r="H660" s="1409"/>
      <c r="I660" s="1409"/>
      <c r="J660" s="1409"/>
      <c r="K660" s="1409"/>
      <c r="L660" s="1409"/>
      <c r="M660" s="1409"/>
      <c r="N660" s="1409"/>
      <c r="O660" s="1409"/>
      <c r="P660" s="1409"/>
      <c r="Q660" s="1409"/>
      <c r="R660" s="1409"/>
      <c r="T660" s="22"/>
      <c r="U660" t="s">
        <v>85</v>
      </c>
      <c r="Z660" s="1409"/>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3" customHeight="1">
      <c r="A661" s="22"/>
      <c r="B661" t="s">
        <v>580</v>
      </c>
      <c r="G661" s="1409" t="s">
        <v>2742</v>
      </c>
      <c r="H661" s="1409"/>
      <c r="I661" s="1409"/>
      <c r="J661" s="1409"/>
      <c r="K661" s="1409"/>
      <c r="L661" s="1409"/>
      <c r="M661" s="1409"/>
      <c r="N661" s="1409"/>
      <c r="O661" s="1409"/>
      <c r="P661" s="1409"/>
      <c r="Q661" s="1409"/>
      <c r="R661" s="1409"/>
      <c r="T661" s="22"/>
      <c r="U661" t="s">
        <v>580</v>
      </c>
      <c r="Z661" s="1373"/>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3" customHeight="1">
      <c r="A662" s="22"/>
      <c r="B662" t="s">
        <v>17</v>
      </c>
      <c r="G662" s="1409" t="s">
        <v>2753</v>
      </c>
      <c r="H662" s="1409"/>
      <c r="I662" s="1409"/>
      <c r="J662" s="1409"/>
      <c r="K662" s="1409"/>
      <c r="L662" s="1409"/>
      <c r="M662" s="1409"/>
      <c r="N662" s="1409"/>
      <c r="O662" s="1409"/>
      <c r="P662" s="1409"/>
      <c r="Q662" s="1409"/>
      <c r="R662" s="1409"/>
      <c r="T662" s="22"/>
      <c r="U662" t="s">
        <v>17</v>
      </c>
      <c r="Z662" s="1373"/>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3" customHeight="1">
      <c r="A663" s="22"/>
      <c r="B663" t="s">
        <v>316</v>
      </c>
      <c r="G663" s="1532" t="s">
        <v>2754</v>
      </c>
      <c r="H663" s="1489"/>
      <c r="I663" s="1489"/>
      <c r="J663" s="1489"/>
      <c r="K663" s="1489"/>
      <c r="L663" s="1489"/>
      <c r="O663" s="33" t="s">
        <v>206</v>
      </c>
      <c r="P663" s="1473"/>
      <c r="Q663" s="1473"/>
      <c r="R663" s="1473"/>
      <c r="T663" s="22"/>
      <c r="U663" t="s">
        <v>316</v>
      </c>
      <c r="Z663" s="1489"/>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3" customHeight="1">
      <c r="A664" s="22"/>
      <c r="B664" t="s">
        <v>18</v>
      </c>
      <c r="H664" s="1409" t="s">
        <v>2743</v>
      </c>
      <c r="I664" s="1409"/>
      <c r="J664" s="1409"/>
      <c r="K664" s="1409"/>
      <c r="L664" s="1409"/>
      <c r="M664" s="1409"/>
      <c r="N664" s="1409"/>
      <c r="O664" s="1409"/>
      <c r="P664" s="1409"/>
      <c r="Q664" s="1409"/>
      <c r="R664" s="1409"/>
      <c r="T664" s="22"/>
      <c r="U664" t="s">
        <v>18</v>
      </c>
      <c r="AA664" s="1409"/>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3" customHeight="1">
      <c r="A665" s="22"/>
      <c r="B665" t="s">
        <v>20</v>
      </c>
      <c r="N665" s="1417" t="s">
        <v>545</v>
      </c>
      <c r="O665" s="1417"/>
      <c r="T665" s="22"/>
      <c r="U665" t="s">
        <v>20</v>
      </c>
      <c r="AG665" s="1417" t="s">
        <v>669</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3" customHeight="1">
      <c r="A667" s="55" t="s">
        <v>455</v>
      </c>
      <c r="B667" t="s">
        <v>463</v>
      </c>
      <c r="G667" s="1485">
        <f>C633</f>
        <v>0</v>
      </c>
      <c r="H667" s="1485"/>
      <c r="I667" s="1485"/>
      <c r="J667" s="1485"/>
      <c r="K667" s="1485"/>
      <c r="L667" s="1485"/>
      <c r="M667" s="1485"/>
      <c r="N667" s="1485"/>
      <c r="O667" s="1485"/>
      <c r="P667" s="1485"/>
      <c r="Q667" s="1485"/>
      <c r="R667" s="1485"/>
      <c r="T667" s="55" t="s">
        <v>456</v>
      </c>
      <c r="U667" t="s">
        <v>463</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3"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3" customHeight="1">
      <c r="A669" s="22"/>
      <c r="B669" t="s">
        <v>580</v>
      </c>
      <c r="G669" s="1409"/>
      <c r="H669" s="1409"/>
      <c r="I669" s="1409"/>
      <c r="J669" s="1409"/>
      <c r="K669" s="1409"/>
      <c r="L669" s="1409"/>
      <c r="M669" s="1409"/>
      <c r="N669" s="1409"/>
      <c r="O669" s="1409"/>
      <c r="P669" s="1409"/>
      <c r="Q669" s="1409"/>
      <c r="R669" s="1409"/>
      <c r="T669" s="22"/>
      <c r="U669" t="s">
        <v>580</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3" customHeight="1">
      <c r="A670" s="22"/>
      <c r="B670" t="s">
        <v>17</v>
      </c>
      <c r="G670" s="1409"/>
      <c r="H670" s="1409"/>
      <c r="I670" s="1409"/>
      <c r="J670" s="1409"/>
      <c r="K670" s="1409"/>
      <c r="L670" s="1409"/>
      <c r="M670" s="1409"/>
      <c r="N670" s="1409"/>
      <c r="O670" s="1409"/>
      <c r="P670" s="1409"/>
      <c r="Q670" s="1409"/>
      <c r="R670" s="1409"/>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1588.3066857142855</v>
      </c>
      <c r="ED670" s="1371"/>
      <c r="EE670" s="1371"/>
      <c r="EF670" s="1371"/>
      <c r="EG670" s="1371"/>
      <c r="EH670" s="1371">
        <f>SUMIF(EH635:EL669,"&gt;0")</f>
        <v>2065.7605714285719</v>
      </c>
      <c r="EI670" s="1371"/>
      <c r="EJ670" s="1371"/>
      <c r="EK670" s="1371"/>
      <c r="EL670" s="1371"/>
      <c r="EM670" s="1371">
        <f>SUMIF(EM635:EQ669,"&gt;0")</f>
        <v>2434.0527058823527</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3"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7" t="s">
        <v>669</v>
      </c>
      <c r="O673" s="1417"/>
      <c r="T673" s="22"/>
      <c r="U673" t="s">
        <v>20</v>
      </c>
      <c r="AG673" s="1417" t="s">
        <v>669</v>
      </c>
      <c r="AH673" s="1417"/>
      <c r="AZ673" s="3"/>
    </row>
    <row r="674" spans="1:52" ht="13" customHeight="1">
      <c r="A674" s="22"/>
      <c r="T674" s="22"/>
      <c r="AZ674" s="3"/>
    </row>
    <row r="675" spans="1:52" ht="13" customHeight="1">
      <c r="A675" s="55" t="s">
        <v>461</v>
      </c>
      <c r="B675" t="s">
        <v>463</v>
      </c>
      <c r="G675" s="1485">
        <f>C635</f>
        <v>0</v>
      </c>
      <c r="H675" s="1485"/>
      <c r="I675" s="1485"/>
      <c r="J675" s="1485"/>
      <c r="K675" s="1485"/>
      <c r="L675" s="1485"/>
      <c r="M675" s="1485"/>
      <c r="N675" s="1485"/>
      <c r="O675" s="1485"/>
      <c r="P675" s="1485"/>
      <c r="Q675" s="1485"/>
      <c r="R675" s="1485"/>
      <c r="T675" s="55" t="s">
        <v>646</v>
      </c>
      <c r="U675" t="s">
        <v>463</v>
      </c>
      <c r="Z675" s="1485">
        <f>C636</f>
        <v>0</v>
      </c>
      <c r="AA675" s="1485"/>
      <c r="AB675" s="1485"/>
      <c r="AC675" s="1485"/>
      <c r="AD675" s="1485"/>
      <c r="AE675" s="1485"/>
      <c r="AF675" s="1485"/>
      <c r="AG675" s="1485"/>
      <c r="AH675" s="1485"/>
      <c r="AI675" s="1485"/>
      <c r="AJ675" s="1485"/>
      <c r="AK675" s="1485"/>
      <c r="AZ675" s="3"/>
    </row>
    <row r="676" spans="1:52" ht="13"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3" customHeight="1">
      <c r="A677" s="22"/>
      <c r="B677" t="s">
        <v>580</v>
      </c>
      <c r="G677" s="1409"/>
      <c r="H677" s="1409"/>
      <c r="I677" s="1409"/>
      <c r="J677" s="1409"/>
      <c r="K677" s="1409"/>
      <c r="L677" s="1409"/>
      <c r="M677" s="1409"/>
      <c r="N677" s="1409"/>
      <c r="O677" s="1409"/>
      <c r="P677" s="1409"/>
      <c r="Q677" s="1409"/>
      <c r="R677" s="1409"/>
      <c r="T677" s="22"/>
      <c r="U677" t="s">
        <v>580</v>
      </c>
      <c r="Z677" s="1373"/>
      <c r="AA677" s="1373"/>
      <c r="AB677" s="1373"/>
      <c r="AC677" s="1373"/>
      <c r="AD677" s="1373"/>
      <c r="AE677" s="1373"/>
      <c r="AF677" s="1373"/>
      <c r="AG677" s="1373"/>
      <c r="AH677" s="1373"/>
      <c r="AI677" s="1373"/>
      <c r="AJ677" s="1373"/>
      <c r="AK677" s="1373"/>
      <c r="AZ677" s="3"/>
    </row>
    <row r="678" spans="1:52" ht="13" customHeight="1">
      <c r="A678" s="22"/>
      <c r="B678" t="s">
        <v>17</v>
      </c>
      <c r="G678" s="1409"/>
      <c r="H678" s="1409"/>
      <c r="I678" s="1409"/>
      <c r="J678" s="1409"/>
      <c r="K678" s="1409"/>
      <c r="L678" s="1409"/>
      <c r="M678" s="1409"/>
      <c r="N678" s="1409"/>
      <c r="O678" s="1409"/>
      <c r="P678" s="1409"/>
      <c r="Q678" s="1409"/>
      <c r="R678" s="1409"/>
      <c r="T678" s="22"/>
      <c r="U678" t="s">
        <v>17</v>
      </c>
      <c r="Z678" s="1373"/>
      <c r="AA678" s="1373"/>
      <c r="AB678" s="1373"/>
      <c r="AC678" s="1373"/>
      <c r="AD678" s="1373"/>
      <c r="AE678" s="1373"/>
      <c r="AF678" s="1373"/>
      <c r="AG678" s="1373"/>
      <c r="AH678" s="1373"/>
      <c r="AI678" s="1373"/>
      <c r="AJ678" s="1373"/>
      <c r="AK678" s="1373"/>
      <c r="AZ678" s="3"/>
    </row>
    <row r="679" spans="1:52" ht="13"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3"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3" customHeight="1">
      <c r="A681" s="22"/>
      <c r="B681" t="s">
        <v>20</v>
      </c>
      <c r="N681" s="1417" t="s">
        <v>669</v>
      </c>
      <c r="O681" s="1417"/>
      <c r="T681" s="22"/>
      <c r="U681" t="s">
        <v>20</v>
      </c>
      <c r="AG681" s="1417" t="s">
        <v>669</v>
      </c>
      <c r="AH681" s="1417"/>
      <c r="AZ681" s="3"/>
    </row>
    <row r="682" spans="1:52" ht="13" customHeight="1">
      <c r="A682" s="22"/>
      <c r="T682" s="22"/>
      <c r="AZ682" s="3"/>
    </row>
    <row r="683" spans="1:52" ht="13" customHeight="1">
      <c r="A683" s="55" t="s">
        <v>362</v>
      </c>
      <c r="B683" t="s">
        <v>463</v>
      </c>
      <c r="G683" s="1485">
        <f>C637</f>
        <v>0</v>
      </c>
      <c r="H683" s="1485"/>
      <c r="I683" s="1485"/>
      <c r="J683" s="1485"/>
      <c r="K683" s="1485"/>
      <c r="L683" s="1485"/>
      <c r="M683" s="1485"/>
      <c r="N683" s="1485"/>
      <c r="O683" s="1485"/>
      <c r="P683" s="1485"/>
      <c r="Q683" s="1485"/>
      <c r="R683" s="1485"/>
      <c r="T683" s="55" t="s">
        <v>363</v>
      </c>
      <c r="U683" t="s">
        <v>463</v>
      </c>
      <c r="Z683" s="1485">
        <f>C638</f>
        <v>0</v>
      </c>
      <c r="AA683" s="1485"/>
      <c r="AB683" s="1485"/>
      <c r="AC683" s="1485"/>
      <c r="AD683" s="1485"/>
      <c r="AE683" s="1485"/>
      <c r="AF683" s="1485"/>
      <c r="AG683" s="1485"/>
      <c r="AH683" s="1485"/>
      <c r="AI683" s="1485"/>
      <c r="AJ683" s="1485"/>
      <c r="AK683" s="1485"/>
      <c r="AZ683" s="3"/>
    </row>
    <row r="684" spans="1:52" ht="13"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3" customHeight="1">
      <c r="B685" t="s">
        <v>580</v>
      </c>
      <c r="G685" s="1409"/>
      <c r="H685" s="1409"/>
      <c r="I685" s="1409"/>
      <c r="J685" s="1409"/>
      <c r="K685" s="1409"/>
      <c r="L685" s="1409"/>
      <c r="M685" s="1409"/>
      <c r="N685" s="1409"/>
      <c r="O685" s="1409"/>
      <c r="P685" s="1409"/>
      <c r="Q685" s="1409"/>
      <c r="R685" s="1409"/>
      <c r="U685" t="s">
        <v>580</v>
      </c>
      <c r="Z685" s="1373"/>
      <c r="AA685" s="1373"/>
      <c r="AB685" s="1373"/>
      <c r="AC685" s="1373"/>
      <c r="AD685" s="1373"/>
      <c r="AE685" s="1373"/>
      <c r="AF685" s="1373"/>
      <c r="AG685" s="1373"/>
      <c r="AH685" s="1373"/>
      <c r="AI685" s="1373"/>
      <c r="AJ685" s="1373"/>
      <c r="AK685" s="1373"/>
      <c r="AZ685" s="3"/>
    </row>
    <row r="686" spans="1:52" ht="13" customHeight="1">
      <c r="B686" t="s">
        <v>17</v>
      </c>
      <c r="G686" s="1409"/>
      <c r="H686" s="1409"/>
      <c r="I686" s="1409"/>
      <c r="J686" s="1409"/>
      <c r="K686" s="1409"/>
      <c r="L686" s="1409"/>
      <c r="M686" s="1409"/>
      <c r="N686" s="1409"/>
      <c r="O686" s="1409"/>
      <c r="P686" s="1409"/>
      <c r="Q686" s="1409"/>
      <c r="R686" s="1409"/>
      <c r="U686" t="s">
        <v>17</v>
      </c>
      <c r="Z686" s="1373"/>
      <c r="AA686" s="1373"/>
      <c r="AB686" s="1373"/>
      <c r="AC686" s="1373"/>
      <c r="AD686" s="1373"/>
      <c r="AE686" s="1373"/>
      <c r="AF686" s="1373"/>
      <c r="AG686" s="1373"/>
      <c r="AH686" s="1373"/>
      <c r="AI686" s="1373"/>
      <c r="AJ686" s="1373"/>
      <c r="AK686" s="1373"/>
      <c r="AZ686" s="3"/>
    </row>
    <row r="687" spans="1:52" ht="13"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3"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3" customHeight="1">
      <c r="B689" t="s">
        <v>20</v>
      </c>
      <c r="N689" s="1417" t="s">
        <v>669</v>
      </c>
      <c r="O689" s="1417"/>
      <c r="U689" t="s">
        <v>20</v>
      </c>
      <c r="AG689" s="1417" t="s">
        <v>669</v>
      </c>
      <c r="AH689" s="1417"/>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7" t="s">
        <v>545</v>
      </c>
      <c r="AF693" s="1417"/>
      <c r="AZ693" s="3"/>
    </row>
    <row r="694" spans="1:67" ht="13" customHeight="1">
      <c r="B694" s="135"/>
      <c r="C694" s="135"/>
      <c r="D694" s="136" t="s">
        <v>438</v>
      </c>
      <c r="E694" s="135"/>
      <c r="F694" s="135"/>
      <c r="G694" s="135"/>
      <c r="H694" s="135"/>
      <c r="AE694" s="1417" t="s">
        <v>669</v>
      </c>
      <c r="AF694" s="1417"/>
      <c r="AZ694" s="3"/>
    </row>
    <row r="695" spans="1:67" ht="13" customHeight="1">
      <c r="B695" s="135"/>
      <c r="C695" s="135"/>
      <c r="D695" s="136" t="s">
        <v>920</v>
      </c>
      <c r="E695" s="135"/>
      <c r="F695" s="135"/>
      <c r="G695" s="135"/>
      <c r="H695" s="135"/>
      <c r="AE695" s="1508">
        <v>45797</v>
      </c>
      <c r="AF695" s="1508"/>
      <c r="AG695" s="1508"/>
      <c r="AH695" s="1508"/>
      <c r="AI695" s="1508"/>
    </row>
    <row r="696" spans="1:67" ht="13" customHeight="1">
      <c r="B696" s="135"/>
      <c r="C696" s="135"/>
      <c r="D696" s="317" t="s">
        <v>982</v>
      </c>
      <c r="E696" s="135"/>
      <c r="F696" s="135"/>
      <c r="G696" s="135"/>
      <c r="H696" s="135"/>
      <c r="AE696" s="1669">
        <v>45874</v>
      </c>
      <c r="AF696" s="1669"/>
      <c r="AG696" s="1669"/>
      <c r="AH696" s="1669"/>
      <c r="AI696" s="1669"/>
    </row>
    <row r="697" spans="1:67" ht="13" customHeight="1">
      <c r="B697" s="135"/>
      <c r="C697" s="135"/>
    </row>
    <row r="698" spans="1:67" ht="13" customHeight="1">
      <c r="B698" s="135"/>
      <c r="C698" s="135"/>
      <c r="D698" s="136" t="s">
        <v>816</v>
      </c>
      <c r="E698" s="135"/>
      <c r="F698" s="135"/>
      <c r="G698" s="135"/>
      <c r="H698" s="135"/>
      <c r="AE698" s="1508">
        <v>46054</v>
      </c>
      <c r="AF698" s="1508"/>
      <c r="AG698" s="1508"/>
      <c r="AH698" s="1508"/>
      <c r="AI698" s="1508"/>
    </row>
    <row r="699" spans="1:67" ht="13" customHeight="1">
      <c r="B699" s="135"/>
      <c r="C699" s="135"/>
      <c r="D699" s="136" t="s">
        <v>436</v>
      </c>
      <c r="E699" s="135"/>
      <c r="F699" s="135"/>
      <c r="G699" s="135"/>
      <c r="H699" s="135"/>
      <c r="AE699" s="1689">
        <v>0.50209999999999999</v>
      </c>
      <c r="AF699" s="1689"/>
      <c r="AG699" s="1689"/>
      <c r="AH699" s="1689"/>
      <c r="AI699" s="1689"/>
    </row>
    <row r="700" spans="1:67" ht="13" customHeight="1">
      <c r="B700" s="135"/>
      <c r="C700" s="135"/>
      <c r="D700" s="136" t="s">
        <v>437</v>
      </c>
      <c r="E700" s="135"/>
      <c r="F700" s="135"/>
      <c r="G700" s="135"/>
      <c r="H700" s="135"/>
      <c r="W700" s="1485" t="str">
        <f>H335</f>
        <v>San Diego Housing Commission</v>
      </c>
      <c r="X700" s="1485"/>
      <c r="Y700" s="1485"/>
      <c r="Z700" s="1485"/>
      <c r="AA700" s="1485"/>
      <c r="AB700" s="1485"/>
      <c r="AC700" s="1485"/>
      <c r="AD700" s="1485"/>
      <c r="AE700" s="1485"/>
      <c r="AF700" s="1485"/>
      <c r="AG700" s="1485"/>
      <c r="AH700" s="1485"/>
      <c r="AI700" s="1485"/>
      <c r="AJ700" s="1485"/>
      <c r="AK700" s="1485"/>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7" t="s">
        <v>669</v>
      </c>
      <c r="AF702" s="1417"/>
      <c r="AZ702" s="4" t="s">
        <v>324</v>
      </c>
    </row>
    <row r="703" spans="1:67" ht="13" customHeight="1">
      <c r="B703" s="135"/>
      <c r="C703" s="135"/>
      <c r="D703" s="136" t="s">
        <v>442</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325</v>
      </c>
    </row>
    <row r="704" spans="1:67" ht="13"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3" customHeight="1">
      <c r="B705" s="135"/>
      <c r="C705" s="135"/>
      <c r="D705" s="136" t="s">
        <v>88</v>
      </c>
      <c r="J705" s="1489"/>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9" t="s">
        <v>307</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9" t="s">
        <v>334</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6" t="s">
        <v>389</v>
      </c>
      <c r="C714" s="1497"/>
      <c r="D714" s="1497"/>
      <c r="E714" s="1497"/>
      <c r="F714" s="1498"/>
      <c r="G714" s="1496" t="s">
        <v>285</v>
      </c>
      <c r="H714" s="1497"/>
      <c r="I714" s="1497"/>
      <c r="J714" s="1498"/>
      <c r="K714" s="1513" t="s">
        <v>1678</v>
      </c>
      <c r="L714" s="1514"/>
      <c r="M714" s="1514"/>
      <c r="N714" s="1515"/>
      <c r="O714" s="1496" t="s">
        <v>447</v>
      </c>
      <c r="P714" s="1497"/>
      <c r="Q714" s="1497"/>
      <c r="R714" s="1497"/>
      <c r="S714" s="1498"/>
      <c r="T714" s="1509" t="s">
        <v>1948</v>
      </c>
      <c r="U714" s="1497"/>
      <c r="V714" s="1497"/>
      <c r="W714" s="1498"/>
      <c r="X714" s="1509" t="s">
        <v>1950</v>
      </c>
      <c r="Y714" s="1497"/>
      <c r="Z714" s="1497"/>
      <c r="AA714" s="1497"/>
      <c r="AB714" s="1498"/>
      <c r="AC714" s="1509" t="s">
        <v>1949</v>
      </c>
      <c r="AD714" s="1497"/>
      <c r="AE714" s="1497"/>
      <c r="AF714" s="1497"/>
      <c r="AG714" s="1498"/>
      <c r="AH714" s="1509" t="s">
        <v>1951</v>
      </c>
      <c r="AI714" s="1497"/>
      <c r="AJ714" s="1498"/>
      <c r="AK714" s="1509" t="s">
        <v>1978</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799" t="s">
        <v>633</v>
      </c>
      <c r="CQ717" s="1800"/>
      <c r="CR717" s="1800"/>
      <c r="CS717" s="1800"/>
      <c r="CT717" s="1801"/>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460</v>
      </c>
      <c r="DK717" s="1490"/>
      <c r="DL717" s="1490"/>
      <c r="DM717" s="1490"/>
      <c r="DN717" s="1490"/>
      <c r="DO717" s="1490" t="s">
        <v>30</v>
      </c>
      <c r="DP717" s="1490"/>
      <c r="DQ717" s="1490"/>
      <c r="DR717" s="1490"/>
      <c r="DS717" s="1490"/>
      <c r="DT717" s="89"/>
      <c r="DU717" s="1490" t="s">
        <v>633</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460</v>
      </c>
      <c r="EP717" s="1490"/>
      <c r="EQ717" s="1490"/>
      <c r="ER717" s="1490"/>
      <c r="ES717" s="1490"/>
      <c r="ET717" s="1490" t="s">
        <v>30</v>
      </c>
      <c r="EU717" s="1490"/>
      <c r="EV717" s="1490"/>
      <c r="EW717" s="1490"/>
      <c r="EX717" s="1490"/>
      <c r="EY717" s="4"/>
      <c r="EZ717" s="1490" t="s">
        <v>633</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460</v>
      </c>
      <c r="FU717" s="1490"/>
      <c r="FV717" s="1490"/>
      <c r="FW717" s="1490"/>
      <c r="FX717" s="1490"/>
      <c r="FY717" s="1490" t="s">
        <v>30</v>
      </c>
      <c r="FZ717" s="1490"/>
      <c r="GA717" s="1490"/>
      <c r="GB717" s="1490"/>
      <c r="GC717" s="1490"/>
    </row>
    <row r="718" spans="1:185" ht="13" customHeight="1">
      <c r="A718" s="4"/>
      <c r="B718" s="1357" t="s">
        <v>325</v>
      </c>
      <c r="C718" s="1358"/>
      <c r="D718" s="1358"/>
      <c r="E718" s="1358"/>
      <c r="F718" s="1359"/>
      <c r="G718" s="1366">
        <v>4</v>
      </c>
      <c r="H718" s="1367"/>
      <c r="I718" s="1367"/>
      <c r="J718" s="1368"/>
      <c r="K718" s="1608">
        <v>491</v>
      </c>
      <c r="L718" s="1609"/>
      <c r="M718" s="1609"/>
      <c r="N718" s="1610"/>
      <c r="O718" s="1470">
        <v>2084.3969999999999</v>
      </c>
      <c r="P718" s="1471"/>
      <c r="Q718" s="1471"/>
      <c r="R718" s="1471"/>
      <c r="S718" s="1472"/>
      <c r="T718" s="1470">
        <f>Q832</f>
        <v>86</v>
      </c>
      <c r="U718" s="1471"/>
      <c r="V718" s="1471"/>
      <c r="W718" s="1472"/>
      <c r="X718" s="1360">
        <f t="shared" ref="X718:X741" si="8">O718+T718</f>
        <v>2170.3969999999999</v>
      </c>
      <c r="Y718" s="1361"/>
      <c r="Z718" s="1361"/>
      <c r="AA718" s="1361"/>
      <c r="AB718" s="1362"/>
      <c r="AC718" s="1617">
        <v>0.7</v>
      </c>
      <c r="AD718" s="1618"/>
      <c r="AE718" s="1618"/>
      <c r="AF718" s="1618"/>
      <c r="AG718" s="1619"/>
      <c r="AH718" s="1363">
        <f>IF($AC718&gt;0,($X718/$AZ718), "")</f>
        <v>0.70012806451612897</v>
      </c>
      <c r="AI718" s="1364"/>
      <c r="AJ718" s="1365"/>
      <c r="AK718" s="1357" t="s">
        <v>591</v>
      </c>
      <c r="AL718" s="1358"/>
      <c r="AM718" s="1358"/>
      <c r="AN718" s="1358"/>
      <c r="AO718" s="1359"/>
      <c r="AP718" s="3"/>
      <c r="AQ718" s="3"/>
      <c r="AR718" s="3"/>
      <c r="AS718" s="3"/>
      <c r="AZ718" s="118">
        <f t="shared" ref="AZ718:AZ752" si="9">IF($G718=0,"N/A",VLOOKUP($T$189,TC_Rent,(MATCH($B718,bedrooms,FALSE)),FALSE))</f>
        <v>3100</v>
      </c>
      <c r="BA718" s="3"/>
      <c r="BB718" s="3"/>
      <c r="BC718" s="3"/>
      <c r="BD718" s="3"/>
      <c r="BE718" s="204"/>
      <c r="BF718" s="293">
        <f t="shared" ref="BF718:BF752" si="10">G718</f>
        <v>4</v>
      </c>
      <c r="BG718" s="297">
        <f t="shared" ref="BG718:BG752" si="11">IF($BF$753=0,0,BF718/$BF$753)</f>
        <v>4.1237113402061855E-2</v>
      </c>
      <c r="BH718" s="298">
        <f t="shared" ref="BH718:BH752" si="12">IF(BG718=0,"",BG718*AC718)</f>
        <v>2.8865979381443297E-2</v>
      </c>
      <c r="BI718" s="3"/>
      <c r="BJ718" s="3"/>
      <c r="BK718" s="3"/>
      <c r="BL718" s="3"/>
      <c r="BM718" s="3"/>
      <c r="BN718" s="3"/>
      <c r="BS718" s="293">
        <f t="shared" ref="BS718:BS752" si="13">G718</f>
        <v>4</v>
      </c>
      <c r="BT718" s="297">
        <f t="shared" ref="BT718:BT752" si="14">IF($BS$753=0,0,BS718/$BS$753)</f>
        <v>4.1237113402061855E-2</v>
      </c>
      <c r="BU718" s="298">
        <f t="shared" ref="BU718:BU752" si="15">IF(BT718=0,"",BT718*AH718)</f>
        <v>2.8871260392417688E-2</v>
      </c>
      <c r="CC718" s="3"/>
      <c r="CD718" s="3"/>
      <c r="CE718" s="3"/>
      <c r="CF718" s="3"/>
      <c r="CG718" s="1353">
        <f>IF(AND(AC718&lt;=0.5,AC718&gt;=0.36),1,0)</f>
        <v>0</v>
      </c>
      <c r="CH718" s="1355"/>
      <c r="CI718" s="1337">
        <f>IF(CG718=1,G718,0)</f>
        <v>0</v>
      </c>
      <c r="CJ718" s="1339"/>
      <c r="CK718" s="1353">
        <f t="shared" ref="CK718:CK752" si="16">IF(AND(AC718&lt;=0.35,AC718&gt;0),1,0)</f>
        <v>0</v>
      </c>
      <c r="CL718" s="1355"/>
      <c r="CM718" s="1337">
        <f t="shared" ref="CM718:CM752" si="17">IF(CK718=1,G718,0)</f>
        <v>0</v>
      </c>
      <c r="CN718" s="1339"/>
      <c r="CO718" s="3"/>
      <c r="CP718" s="1334">
        <f t="shared" ref="CP718:CP752" si="18">IF(B718="SRO/Studio",G718,0)</f>
        <v>0</v>
      </c>
      <c r="CQ718" s="1335"/>
      <c r="CR718" s="1335"/>
      <c r="CS718" s="1335"/>
      <c r="CT718" s="1336"/>
      <c r="CU718" s="1356">
        <f t="shared" ref="CU718:CU752" si="19">IF(B718="1 Bedroom",G718,0)</f>
        <v>4</v>
      </c>
      <c r="CV718" s="1356"/>
      <c r="CW718" s="1356"/>
      <c r="CX718" s="1356"/>
      <c r="CY718" s="1356"/>
      <c r="CZ718" s="1356">
        <f t="shared" ref="CZ718:CZ752" si="20">IF(B718="2 Bedrooms",G718,0)</f>
        <v>0</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0</v>
      </c>
      <c r="DV718" s="1370"/>
      <c r="DW718" s="1370"/>
      <c r="DX718" s="1370"/>
      <c r="DY718" s="1370"/>
      <c r="DZ718" s="1370">
        <f t="shared" ref="DZ718:DZ752" si="25">IF(AND(B718="1 Bedroom",AC718&lt;=0.3),G718,0)</f>
        <v>0</v>
      </c>
      <c r="EA718" s="1370"/>
      <c r="EB718" s="1370"/>
      <c r="EC718" s="1370"/>
      <c r="ED718" s="1370"/>
      <c r="EE718" s="1370">
        <f t="shared" ref="EE718:EE752" si="26">IF(AND(B718="2 Bedrooms",AC718&lt;=0.3),G718,0)</f>
        <v>0</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t="str">
        <f t="shared" ref="EZ718:EZ752" si="30">IF(CP718&gt;0,O718,"")</f>
        <v/>
      </c>
      <c r="FA718" s="1354"/>
      <c r="FB718" s="1354"/>
      <c r="FC718" s="1354"/>
      <c r="FD718" s="1355"/>
      <c r="FE718" s="1353">
        <f t="shared" ref="FE718:FE752" si="31">IF(CU718&gt;0,O718,"")</f>
        <v>2084.3969999999999</v>
      </c>
      <c r="FF718" s="1354"/>
      <c r="FG718" s="1354"/>
      <c r="FH718" s="1354"/>
      <c r="FI718" s="1355"/>
      <c r="FJ718" s="1353" t="str">
        <f t="shared" ref="FJ718:FJ752" si="32">IF(CZ718&gt;0,O718,"")</f>
        <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3" customHeight="1">
      <c r="A719" s="4"/>
      <c r="B719" s="1357" t="s">
        <v>325</v>
      </c>
      <c r="C719" s="1358"/>
      <c r="D719" s="1358"/>
      <c r="E719" s="1358"/>
      <c r="F719" s="1359"/>
      <c r="G719" s="1366">
        <v>20</v>
      </c>
      <c r="H719" s="1367"/>
      <c r="I719" s="1367"/>
      <c r="J719" s="1368"/>
      <c r="K719" s="1608">
        <v>491</v>
      </c>
      <c r="L719" s="1609"/>
      <c r="M719" s="1609"/>
      <c r="N719" s="1610"/>
      <c r="O719" s="1470">
        <v>1774.3409999999999</v>
      </c>
      <c r="P719" s="1471"/>
      <c r="Q719" s="1471"/>
      <c r="R719" s="1471"/>
      <c r="S719" s="1472"/>
      <c r="T719" s="1470">
        <f>T718</f>
        <v>86</v>
      </c>
      <c r="U719" s="1471"/>
      <c r="V719" s="1471"/>
      <c r="W719" s="1472"/>
      <c r="X719" s="1360">
        <f t="shared" si="8"/>
        <v>1860.3409999999999</v>
      </c>
      <c r="Y719" s="1361"/>
      <c r="Z719" s="1361"/>
      <c r="AA719" s="1361"/>
      <c r="AB719" s="1362"/>
      <c r="AC719" s="1617">
        <v>0.6</v>
      </c>
      <c r="AD719" s="1618"/>
      <c r="AE719" s="1618"/>
      <c r="AF719" s="1618"/>
      <c r="AG719" s="1619"/>
      <c r="AH719" s="1363">
        <f t="shared" ref="AH719:AH752" si="36">IF($AC719&gt;0,($X719/$AZ719), "")</f>
        <v>0.60010999999999992</v>
      </c>
      <c r="AI719" s="1364"/>
      <c r="AJ719" s="1365"/>
      <c r="AK719" s="1357" t="s">
        <v>591</v>
      </c>
      <c r="AL719" s="1358"/>
      <c r="AM719" s="1358"/>
      <c r="AN719" s="1358"/>
      <c r="AO719" s="1359"/>
      <c r="AP719" s="3"/>
      <c r="AQ719" s="3"/>
      <c r="AR719" s="3"/>
      <c r="AS719" s="3"/>
      <c r="AZ719" s="118">
        <f t="shared" si="9"/>
        <v>3100</v>
      </c>
      <c r="BA719" s="3"/>
      <c r="BB719" s="3"/>
      <c r="BC719" s="3"/>
      <c r="BD719" s="3"/>
      <c r="BE719" s="204"/>
      <c r="BF719" s="294">
        <f t="shared" si="10"/>
        <v>20</v>
      </c>
      <c r="BG719" s="297">
        <f t="shared" si="11"/>
        <v>0.20618556701030927</v>
      </c>
      <c r="BH719" s="298">
        <f t="shared" si="12"/>
        <v>0.12371134020618556</v>
      </c>
      <c r="BI719" s="3"/>
      <c r="BJ719" s="3"/>
      <c r="BK719" s="3"/>
      <c r="BL719" s="3"/>
      <c r="BM719" s="3"/>
      <c r="BN719" s="3"/>
      <c r="BS719" s="294">
        <f t="shared" si="13"/>
        <v>20</v>
      </c>
      <c r="BT719" s="297">
        <f t="shared" si="14"/>
        <v>0.20618556701030927</v>
      </c>
      <c r="BU719" s="298">
        <f t="shared" si="15"/>
        <v>0.12373402061855668</v>
      </c>
      <c r="CC719" s="3"/>
      <c r="CD719" s="3"/>
      <c r="CE719" s="3"/>
      <c r="CF719" s="3"/>
      <c r="CG719" s="1353">
        <f t="shared" ref="CG719:CG752" si="37">IF(AND(AC719&lt;=0.5,AC719&gt;=0.36),1,0)</f>
        <v>0</v>
      </c>
      <c r="CH719" s="1355"/>
      <c r="CI719" s="1337">
        <f t="shared" ref="CI719:CI752" si="38">IF(CG719=1,G719,0)</f>
        <v>0</v>
      </c>
      <c r="CJ719" s="1339"/>
      <c r="CK719" s="1353">
        <f t="shared" si="16"/>
        <v>0</v>
      </c>
      <c r="CL719" s="1355"/>
      <c r="CM719" s="1337">
        <f t="shared" si="17"/>
        <v>0</v>
      </c>
      <c r="CN719" s="1339"/>
      <c r="CO719" s="3"/>
      <c r="CP719" s="1334">
        <f t="shared" si="18"/>
        <v>0</v>
      </c>
      <c r="CQ719" s="1335"/>
      <c r="CR719" s="1335"/>
      <c r="CS719" s="1335"/>
      <c r="CT719" s="1336"/>
      <c r="CU719" s="1356">
        <f t="shared" si="19"/>
        <v>20</v>
      </c>
      <c r="CV719" s="1356"/>
      <c r="CW719" s="1356"/>
      <c r="CX719" s="1356"/>
      <c r="CY719" s="1356"/>
      <c r="CZ719" s="1356">
        <f t="shared" si="20"/>
        <v>0</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0</v>
      </c>
      <c r="DV719" s="1370"/>
      <c r="DW719" s="1370"/>
      <c r="DX719" s="1370"/>
      <c r="DY719" s="1370"/>
      <c r="DZ719" s="1370">
        <f t="shared" si="25"/>
        <v>0</v>
      </c>
      <c r="EA719" s="1370"/>
      <c r="EB719" s="1370"/>
      <c r="EC719" s="1370"/>
      <c r="ED719" s="1370"/>
      <c r="EE719" s="1370">
        <f t="shared" si="26"/>
        <v>0</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t="str">
        <f t="shared" si="30"/>
        <v/>
      </c>
      <c r="FA719" s="1354"/>
      <c r="FB719" s="1354"/>
      <c r="FC719" s="1354"/>
      <c r="FD719" s="1355"/>
      <c r="FE719" s="1353">
        <f t="shared" si="31"/>
        <v>1774.3409999999999</v>
      </c>
      <c r="FF719" s="1354"/>
      <c r="FG719" s="1354"/>
      <c r="FH719" s="1354"/>
      <c r="FI719" s="1355"/>
      <c r="FJ719" s="1353" t="str">
        <f t="shared" si="32"/>
        <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3" customHeight="1">
      <c r="A720" s="4"/>
      <c r="B720" s="1357" t="s">
        <v>325</v>
      </c>
      <c r="C720" s="1358"/>
      <c r="D720" s="1358"/>
      <c r="E720" s="1358"/>
      <c r="F720" s="1359"/>
      <c r="G720" s="1366">
        <v>4</v>
      </c>
      <c r="H720" s="1367"/>
      <c r="I720" s="1367"/>
      <c r="J720" s="1368"/>
      <c r="K720" s="1608">
        <v>491</v>
      </c>
      <c r="L720" s="1609"/>
      <c r="M720" s="1609"/>
      <c r="N720" s="1610"/>
      <c r="O720" s="1470">
        <v>1464.2840000000001</v>
      </c>
      <c r="P720" s="1471"/>
      <c r="Q720" s="1471"/>
      <c r="R720" s="1471"/>
      <c r="S720" s="1472"/>
      <c r="T720" s="1470">
        <f t="shared" ref="T720:T721" si="39">T719</f>
        <v>86</v>
      </c>
      <c r="U720" s="1471"/>
      <c r="V720" s="1471"/>
      <c r="W720" s="1472"/>
      <c r="X720" s="1360">
        <f t="shared" si="8"/>
        <v>1550.2840000000001</v>
      </c>
      <c r="Y720" s="1361"/>
      <c r="Z720" s="1361"/>
      <c r="AA720" s="1361"/>
      <c r="AB720" s="1362"/>
      <c r="AC720" s="1617">
        <v>0.5</v>
      </c>
      <c r="AD720" s="1618"/>
      <c r="AE720" s="1618"/>
      <c r="AF720" s="1618"/>
      <c r="AG720" s="1619"/>
      <c r="AH720" s="1363">
        <f t="shared" si="36"/>
        <v>0.50009161290322579</v>
      </c>
      <c r="AI720" s="1364"/>
      <c r="AJ720" s="1365"/>
      <c r="AK720" s="1357" t="s">
        <v>591</v>
      </c>
      <c r="AL720" s="1358"/>
      <c r="AM720" s="1358"/>
      <c r="AN720" s="1358"/>
      <c r="AO720" s="1359"/>
      <c r="AP720" s="3"/>
      <c r="AQ720" s="3"/>
      <c r="AR720" s="3"/>
      <c r="AS720" s="3"/>
      <c r="AZ720" s="118">
        <f t="shared" si="9"/>
        <v>3100</v>
      </c>
      <c r="BA720" s="3"/>
      <c r="BB720" s="3"/>
      <c r="BC720" s="3"/>
      <c r="BD720" s="3"/>
      <c r="BE720" s="204"/>
      <c r="BF720" s="294">
        <f t="shared" si="10"/>
        <v>4</v>
      </c>
      <c r="BG720" s="297">
        <f t="shared" si="11"/>
        <v>4.1237113402061855E-2</v>
      </c>
      <c r="BH720" s="298">
        <f t="shared" si="12"/>
        <v>2.0618556701030927E-2</v>
      </c>
      <c r="BI720" s="3"/>
      <c r="BJ720" s="3"/>
      <c r="BK720" s="3"/>
      <c r="BL720" s="3"/>
      <c r="BM720" s="3"/>
      <c r="BN720" s="3"/>
      <c r="BS720" s="294">
        <f t="shared" si="13"/>
        <v>4</v>
      </c>
      <c r="BT720" s="297">
        <f t="shared" si="14"/>
        <v>4.1237113402061855E-2</v>
      </c>
      <c r="BU720" s="298">
        <f t="shared" si="15"/>
        <v>2.0622334552710342E-2</v>
      </c>
      <c r="CC720" s="3"/>
      <c r="CD720" s="3"/>
      <c r="CE720" s="3"/>
      <c r="CF720" s="3"/>
      <c r="CG720" s="1353">
        <f t="shared" si="37"/>
        <v>1</v>
      </c>
      <c r="CH720" s="1355"/>
      <c r="CI720" s="1337">
        <f t="shared" si="38"/>
        <v>4</v>
      </c>
      <c r="CJ720" s="1339"/>
      <c r="CK720" s="1353">
        <f t="shared" si="16"/>
        <v>0</v>
      </c>
      <c r="CL720" s="1355"/>
      <c r="CM720" s="1337">
        <f t="shared" si="17"/>
        <v>0</v>
      </c>
      <c r="CN720" s="1339"/>
      <c r="CO720" s="3"/>
      <c r="CP720" s="1334">
        <f t="shared" si="18"/>
        <v>0</v>
      </c>
      <c r="CQ720" s="1335"/>
      <c r="CR720" s="1335"/>
      <c r="CS720" s="1335"/>
      <c r="CT720" s="1336"/>
      <c r="CU720" s="1356">
        <f t="shared" si="19"/>
        <v>4</v>
      </c>
      <c r="CV720" s="1356"/>
      <c r="CW720" s="1356"/>
      <c r="CX720" s="1356"/>
      <c r="CY720" s="1356"/>
      <c r="CZ720" s="1356">
        <f t="shared" si="20"/>
        <v>0</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0</v>
      </c>
      <c r="EA720" s="1370"/>
      <c r="EB720" s="1370"/>
      <c r="EC720" s="1370"/>
      <c r="ED720" s="1370"/>
      <c r="EE720" s="1370">
        <f t="shared" si="26"/>
        <v>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t="str">
        <f t="shared" si="30"/>
        <v/>
      </c>
      <c r="FA720" s="1354"/>
      <c r="FB720" s="1354"/>
      <c r="FC720" s="1354"/>
      <c r="FD720" s="1355"/>
      <c r="FE720" s="1353">
        <f t="shared" si="31"/>
        <v>1464.2840000000001</v>
      </c>
      <c r="FF720" s="1354"/>
      <c r="FG720" s="1354"/>
      <c r="FH720" s="1354"/>
      <c r="FI720" s="1355"/>
      <c r="FJ720" s="1353" t="str">
        <f t="shared" si="32"/>
        <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3" customHeight="1">
      <c r="B721" s="1357" t="s">
        <v>325</v>
      </c>
      <c r="C721" s="1358"/>
      <c r="D721" s="1358"/>
      <c r="E721" s="1358"/>
      <c r="F721" s="1359"/>
      <c r="G721" s="1366">
        <v>7</v>
      </c>
      <c r="H721" s="1367"/>
      <c r="I721" s="1367"/>
      <c r="J721" s="1368"/>
      <c r="K721" s="1608">
        <v>491</v>
      </c>
      <c r="L721" s="1609"/>
      <c r="M721" s="1609"/>
      <c r="N721" s="1610"/>
      <c r="O721" s="1470">
        <v>844.17</v>
      </c>
      <c r="P721" s="1471"/>
      <c r="Q721" s="1471"/>
      <c r="R721" s="1471"/>
      <c r="S721" s="1472"/>
      <c r="T721" s="1470">
        <f t="shared" si="39"/>
        <v>86</v>
      </c>
      <c r="U721" s="1471"/>
      <c r="V721" s="1471"/>
      <c r="W721" s="1472"/>
      <c r="X721" s="1360">
        <f t="shared" si="8"/>
        <v>930.17</v>
      </c>
      <c r="Y721" s="1361"/>
      <c r="Z721" s="1361"/>
      <c r="AA721" s="1361"/>
      <c r="AB721" s="1362"/>
      <c r="AC721" s="1617">
        <v>0.3</v>
      </c>
      <c r="AD721" s="1618"/>
      <c r="AE721" s="1618"/>
      <c r="AF721" s="1618"/>
      <c r="AG721" s="1619"/>
      <c r="AH721" s="1363">
        <f t="shared" si="36"/>
        <v>0.30005483870967742</v>
      </c>
      <c r="AI721" s="1364"/>
      <c r="AJ721" s="1365"/>
      <c r="AK721" s="1357" t="s">
        <v>2098</v>
      </c>
      <c r="AL721" s="1358"/>
      <c r="AM721" s="1358"/>
      <c r="AN721" s="1358"/>
      <c r="AO721" s="1359"/>
      <c r="AP721" s="3"/>
      <c r="AQ721" s="3"/>
      <c r="AR721" s="3"/>
      <c r="AS721" s="3"/>
      <c r="AY721" s="116"/>
      <c r="AZ721" s="118">
        <f t="shared" si="9"/>
        <v>3100</v>
      </c>
      <c r="BA721" s="3"/>
      <c r="BB721" s="3"/>
      <c r="BC721" s="3"/>
      <c r="BD721" s="3"/>
      <c r="BE721" s="204"/>
      <c r="BF721" s="294">
        <f t="shared" si="10"/>
        <v>7</v>
      </c>
      <c r="BG721" s="297">
        <f t="shared" si="11"/>
        <v>7.2164948453608241E-2</v>
      </c>
      <c r="BH721" s="298">
        <f t="shared" si="12"/>
        <v>2.164948453608247E-2</v>
      </c>
      <c r="BI721" s="3"/>
      <c r="BJ721" s="3"/>
      <c r="BK721" s="3"/>
      <c r="BL721" s="3"/>
      <c r="BM721" s="3"/>
      <c r="BN721" s="3"/>
      <c r="BS721" s="294">
        <f t="shared" si="13"/>
        <v>7</v>
      </c>
      <c r="BT721" s="297">
        <f t="shared" si="14"/>
        <v>7.2164948453608241E-2</v>
      </c>
      <c r="BU721" s="298">
        <f t="shared" si="15"/>
        <v>2.1653441968739605E-2</v>
      </c>
      <c r="CC721" s="3"/>
      <c r="CD721" s="3"/>
      <c r="CE721" s="3"/>
      <c r="CF721" s="3"/>
      <c r="CG721" s="1353">
        <f t="shared" si="37"/>
        <v>0</v>
      </c>
      <c r="CH721" s="1355"/>
      <c r="CI721" s="1337">
        <f t="shared" si="38"/>
        <v>0</v>
      </c>
      <c r="CJ721" s="1339"/>
      <c r="CK721" s="1353">
        <f t="shared" si="16"/>
        <v>1</v>
      </c>
      <c r="CL721" s="1355"/>
      <c r="CM721" s="1337">
        <f t="shared" si="17"/>
        <v>7</v>
      </c>
      <c r="CN721" s="1339"/>
      <c r="CO721" s="3"/>
      <c r="CP721" s="1334">
        <f t="shared" si="18"/>
        <v>0</v>
      </c>
      <c r="CQ721" s="1335"/>
      <c r="CR721" s="1335"/>
      <c r="CS721" s="1335"/>
      <c r="CT721" s="1336"/>
      <c r="CU721" s="1356">
        <f t="shared" si="19"/>
        <v>7</v>
      </c>
      <c r="CV721" s="1356"/>
      <c r="CW721" s="1356"/>
      <c r="CX721" s="1356"/>
      <c r="CY721" s="1356"/>
      <c r="CZ721" s="1356">
        <f t="shared" si="20"/>
        <v>0</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7</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f t="shared" si="31"/>
        <v>844.17</v>
      </c>
      <c r="FF721" s="1354"/>
      <c r="FG721" s="1354"/>
      <c r="FH721" s="1354"/>
      <c r="FI721" s="1355"/>
      <c r="FJ721" s="1353" t="str">
        <f t="shared" si="32"/>
        <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3" customHeight="1">
      <c r="B722" s="1357" t="s">
        <v>163</v>
      </c>
      <c r="C722" s="1358"/>
      <c r="D722" s="1358"/>
      <c r="E722" s="1358"/>
      <c r="F722" s="1359"/>
      <c r="G722" s="1366">
        <v>11</v>
      </c>
      <c r="H722" s="1367"/>
      <c r="I722" s="1367"/>
      <c r="J722" s="1368"/>
      <c r="K722" s="1608">
        <v>706</v>
      </c>
      <c r="L722" s="1609"/>
      <c r="M722" s="1609"/>
      <c r="N722" s="1610"/>
      <c r="O722" s="1470">
        <v>2491</v>
      </c>
      <c r="P722" s="1471"/>
      <c r="Q722" s="1471"/>
      <c r="R722" s="1471"/>
      <c r="S722" s="1472"/>
      <c r="T722" s="1470">
        <f>U832</f>
        <v>114</v>
      </c>
      <c r="U722" s="1471"/>
      <c r="V722" s="1471"/>
      <c r="W722" s="1472"/>
      <c r="X722" s="1360">
        <f t="shared" si="8"/>
        <v>2605</v>
      </c>
      <c r="Y722" s="1361"/>
      <c r="Z722" s="1361"/>
      <c r="AA722" s="1361"/>
      <c r="AB722" s="1362"/>
      <c r="AC722" s="1617">
        <v>0.7</v>
      </c>
      <c r="AD722" s="1618"/>
      <c r="AE722" s="1618"/>
      <c r="AF722" s="1618"/>
      <c r="AG722" s="1619"/>
      <c r="AH722" s="1363">
        <f t="shared" si="36"/>
        <v>0.69989253089736703</v>
      </c>
      <c r="AI722" s="1364"/>
      <c r="AJ722" s="1365"/>
      <c r="AK722" s="1357" t="s">
        <v>591</v>
      </c>
      <c r="AL722" s="1358"/>
      <c r="AM722" s="1358"/>
      <c r="AN722" s="1358"/>
      <c r="AO722" s="1359"/>
      <c r="AP722" s="3"/>
      <c r="AQ722" s="3"/>
      <c r="AR722" s="3"/>
      <c r="AS722" s="3"/>
      <c r="AY722" s="116"/>
      <c r="AZ722" s="118">
        <f t="shared" si="9"/>
        <v>3722</v>
      </c>
      <c r="BA722" s="3"/>
      <c r="BB722" s="3"/>
      <c r="BC722" s="3"/>
      <c r="BD722" s="3"/>
      <c r="BE722" s="204"/>
      <c r="BF722" s="294">
        <f t="shared" si="10"/>
        <v>11</v>
      </c>
      <c r="BG722" s="297">
        <f t="shared" si="11"/>
        <v>0.1134020618556701</v>
      </c>
      <c r="BH722" s="298">
        <f t="shared" si="12"/>
        <v>7.9381443298969068E-2</v>
      </c>
      <c r="BI722" s="3"/>
      <c r="BJ722" s="3"/>
      <c r="BK722" s="3"/>
      <c r="BL722" s="3"/>
      <c r="BM722" s="3"/>
      <c r="BN722" s="3"/>
      <c r="BS722" s="294">
        <f t="shared" si="13"/>
        <v>11</v>
      </c>
      <c r="BT722" s="297">
        <f t="shared" si="14"/>
        <v>0.1134020618556701</v>
      </c>
      <c r="BU722" s="298">
        <f t="shared" si="15"/>
        <v>7.9369256081144715E-2</v>
      </c>
      <c r="CC722" s="3"/>
      <c r="CD722" s="3"/>
      <c r="CE722" s="3"/>
      <c r="CF722" s="3"/>
      <c r="CG722" s="1353">
        <f t="shared" si="37"/>
        <v>0</v>
      </c>
      <c r="CH722" s="1355"/>
      <c r="CI722" s="1337">
        <f t="shared" si="38"/>
        <v>0</v>
      </c>
      <c r="CJ722" s="1339"/>
      <c r="CK722" s="1353">
        <f t="shared" si="16"/>
        <v>0</v>
      </c>
      <c r="CL722" s="1355"/>
      <c r="CM722" s="1337">
        <f t="shared" si="17"/>
        <v>0</v>
      </c>
      <c r="CN722" s="1339"/>
      <c r="CO722" s="3"/>
      <c r="CP722" s="1334">
        <f t="shared" si="18"/>
        <v>0</v>
      </c>
      <c r="CQ722" s="1335"/>
      <c r="CR722" s="1335"/>
      <c r="CS722" s="1335"/>
      <c r="CT722" s="1336"/>
      <c r="CU722" s="1356">
        <f t="shared" si="19"/>
        <v>0</v>
      </c>
      <c r="CV722" s="1356"/>
      <c r="CW722" s="1356"/>
      <c r="CX722" s="1356"/>
      <c r="CY722" s="1356"/>
      <c r="CZ722" s="1356">
        <f t="shared" si="20"/>
        <v>11</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0</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t="str">
        <f t="shared" si="31"/>
        <v/>
      </c>
      <c r="FF722" s="1354"/>
      <c r="FG722" s="1354"/>
      <c r="FH722" s="1354"/>
      <c r="FI722" s="1355"/>
      <c r="FJ722" s="1353">
        <f t="shared" si="32"/>
        <v>2491</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3" customHeight="1">
      <c r="B723" s="1357" t="s">
        <v>163</v>
      </c>
      <c r="C723" s="1358"/>
      <c r="D723" s="1358"/>
      <c r="E723" s="1358"/>
      <c r="F723" s="1359"/>
      <c r="G723" s="1366">
        <v>10</v>
      </c>
      <c r="H723" s="1367"/>
      <c r="I723" s="1367"/>
      <c r="J723" s="1368"/>
      <c r="K723" s="1608">
        <v>706</v>
      </c>
      <c r="L723" s="1609"/>
      <c r="M723" s="1609"/>
      <c r="N723" s="1610"/>
      <c r="O723" s="1470">
        <v>2119</v>
      </c>
      <c r="P723" s="1471"/>
      <c r="Q723" s="1471"/>
      <c r="R723" s="1471"/>
      <c r="S723" s="1472"/>
      <c r="T723" s="1470">
        <f>T722</f>
        <v>114</v>
      </c>
      <c r="U723" s="1471"/>
      <c r="V723" s="1471"/>
      <c r="W723" s="1472"/>
      <c r="X723" s="1360">
        <f t="shared" si="8"/>
        <v>2233</v>
      </c>
      <c r="Y723" s="1361"/>
      <c r="Z723" s="1361"/>
      <c r="AA723" s="1361"/>
      <c r="AB723" s="1362"/>
      <c r="AC723" s="1617">
        <v>0.6</v>
      </c>
      <c r="AD723" s="1618"/>
      <c r="AE723" s="1618"/>
      <c r="AF723" s="1618"/>
      <c r="AG723" s="1619"/>
      <c r="AH723" s="1363">
        <f t="shared" si="36"/>
        <v>0.59994626544868346</v>
      </c>
      <c r="AI723" s="1364"/>
      <c r="AJ723" s="1365"/>
      <c r="AK723" s="1357" t="s">
        <v>591</v>
      </c>
      <c r="AL723" s="1358"/>
      <c r="AM723" s="1358"/>
      <c r="AN723" s="1358"/>
      <c r="AO723" s="1359"/>
      <c r="AP723" s="3"/>
      <c r="AQ723" s="3"/>
      <c r="AR723" s="3"/>
      <c r="AS723" s="3"/>
      <c r="AY723" s="116"/>
      <c r="AZ723" s="118">
        <f t="shared" si="9"/>
        <v>3722</v>
      </c>
      <c r="BA723" s="3"/>
      <c r="BB723" s="3"/>
      <c r="BC723" s="3"/>
      <c r="BD723" s="3"/>
      <c r="BE723" s="204"/>
      <c r="BF723" s="294">
        <f t="shared" si="10"/>
        <v>10</v>
      </c>
      <c r="BG723" s="297">
        <f t="shared" si="11"/>
        <v>0.10309278350515463</v>
      </c>
      <c r="BH723" s="298">
        <f t="shared" si="12"/>
        <v>6.1855670103092779E-2</v>
      </c>
      <c r="BI723" s="3"/>
      <c r="BJ723" s="3"/>
      <c r="BK723" s="3"/>
      <c r="BL723" s="3"/>
      <c r="BM723" s="3"/>
      <c r="BN723" s="3"/>
      <c r="BS723" s="294">
        <f t="shared" si="13"/>
        <v>10</v>
      </c>
      <c r="BT723" s="297">
        <f t="shared" si="14"/>
        <v>0.10309278350515463</v>
      </c>
      <c r="BU723" s="298">
        <f t="shared" si="15"/>
        <v>6.185013045862716E-2</v>
      </c>
      <c r="CC723" s="3"/>
      <c r="CD723" s="3"/>
      <c r="CE723" s="3"/>
      <c r="CF723" s="3"/>
      <c r="CG723" s="1353">
        <f t="shared" si="37"/>
        <v>0</v>
      </c>
      <c r="CH723" s="1355"/>
      <c r="CI723" s="1337">
        <f t="shared" si="38"/>
        <v>0</v>
      </c>
      <c r="CJ723" s="1339"/>
      <c r="CK723" s="1353">
        <f t="shared" si="16"/>
        <v>0</v>
      </c>
      <c r="CL723" s="1355"/>
      <c r="CM723" s="1337">
        <f t="shared" si="17"/>
        <v>0</v>
      </c>
      <c r="CN723" s="1339"/>
      <c r="CO723" s="3"/>
      <c r="CP723" s="1334">
        <f t="shared" si="18"/>
        <v>0</v>
      </c>
      <c r="CQ723" s="1335"/>
      <c r="CR723" s="1335"/>
      <c r="CS723" s="1335"/>
      <c r="CT723" s="1336"/>
      <c r="CU723" s="1356">
        <f t="shared" si="19"/>
        <v>0</v>
      </c>
      <c r="CV723" s="1356"/>
      <c r="CW723" s="1356"/>
      <c r="CX723" s="1356"/>
      <c r="CY723" s="1356"/>
      <c r="CZ723" s="1356">
        <f t="shared" si="20"/>
        <v>10</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0</v>
      </c>
      <c r="EA723" s="1370"/>
      <c r="EB723" s="1370"/>
      <c r="EC723" s="1370"/>
      <c r="ED723" s="1370"/>
      <c r="EE723" s="1370">
        <f t="shared" si="26"/>
        <v>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t="str">
        <f t="shared" si="31"/>
        <v/>
      </c>
      <c r="FF723" s="1354"/>
      <c r="FG723" s="1354"/>
      <c r="FH723" s="1354"/>
      <c r="FI723" s="1355"/>
      <c r="FJ723" s="1353">
        <f t="shared" si="32"/>
        <v>2119</v>
      </c>
      <c r="FK723" s="1354"/>
      <c r="FL723" s="1354"/>
      <c r="FM723" s="1354"/>
      <c r="FN723" s="1355"/>
      <c r="FO723" s="1353" t="str">
        <f t="shared" si="33"/>
        <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3" customHeight="1">
      <c r="B724" s="1357" t="s">
        <v>163</v>
      </c>
      <c r="C724" s="1358"/>
      <c r="D724" s="1358"/>
      <c r="E724" s="1358"/>
      <c r="F724" s="1359"/>
      <c r="G724" s="1366">
        <v>3</v>
      </c>
      <c r="H724" s="1367"/>
      <c r="I724" s="1367"/>
      <c r="J724" s="1368"/>
      <c r="K724" s="1608">
        <v>706</v>
      </c>
      <c r="L724" s="1609"/>
      <c r="M724" s="1609"/>
      <c r="N724" s="1610"/>
      <c r="O724" s="1470">
        <v>1747.432</v>
      </c>
      <c r="P724" s="1471"/>
      <c r="Q724" s="1471"/>
      <c r="R724" s="1471"/>
      <c r="S724" s="1472"/>
      <c r="T724" s="1470">
        <f t="shared" ref="T724:T725" si="40">T723</f>
        <v>114</v>
      </c>
      <c r="U724" s="1471"/>
      <c r="V724" s="1471"/>
      <c r="W724" s="1472"/>
      <c r="X724" s="1360">
        <f t="shared" si="8"/>
        <v>1861.432</v>
      </c>
      <c r="Y724" s="1361"/>
      <c r="Z724" s="1361"/>
      <c r="AA724" s="1361"/>
      <c r="AB724" s="1362"/>
      <c r="AC724" s="1617">
        <v>0.5</v>
      </c>
      <c r="AD724" s="1618"/>
      <c r="AE724" s="1618"/>
      <c r="AF724" s="1618"/>
      <c r="AG724" s="1619"/>
      <c r="AH724" s="1363">
        <f t="shared" si="36"/>
        <v>0.50011606663084363</v>
      </c>
      <c r="AI724" s="1364"/>
      <c r="AJ724" s="1365"/>
      <c r="AK724" s="1357" t="s">
        <v>591</v>
      </c>
      <c r="AL724" s="1358"/>
      <c r="AM724" s="1358"/>
      <c r="AN724" s="1358"/>
      <c r="AO724" s="1359"/>
      <c r="AP724" s="3"/>
      <c r="AQ724" s="3"/>
      <c r="AR724" s="3"/>
      <c r="AS724" s="3"/>
      <c r="AY724" s="116"/>
      <c r="AZ724" s="118">
        <f t="shared" si="9"/>
        <v>3722</v>
      </c>
      <c r="BA724" s="3"/>
      <c r="BB724" s="3"/>
      <c r="BC724" s="3"/>
      <c r="BD724" s="3"/>
      <c r="BE724" s="204"/>
      <c r="BF724" s="294">
        <f t="shared" si="10"/>
        <v>3</v>
      </c>
      <c r="BG724" s="297">
        <f t="shared" si="11"/>
        <v>3.0927835051546393E-2</v>
      </c>
      <c r="BH724" s="298">
        <f t="shared" si="12"/>
        <v>1.5463917525773196E-2</v>
      </c>
      <c r="BI724" s="3"/>
      <c r="BJ724" s="3"/>
      <c r="BK724" s="3"/>
      <c r="BL724" s="3"/>
      <c r="BM724" s="3"/>
      <c r="BN724" s="3"/>
      <c r="BS724" s="294">
        <f t="shared" si="13"/>
        <v>3</v>
      </c>
      <c r="BT724" s="297">
        <f t="shared" si="14"/>
        <v>3.0927835051546393E-2</v>
      </c>
      <c r="BU724" s="298">
        <f t="shared" si="15"/>
        <v>1.5467507215386917E-2</v>
      </c>
      <c r="CC724" s="3"/>
      <c r="CE724" s="3"/>
      <c r="CF724" s="3"/>
      <c r="CG724" s="1353">
        <f t="shared" si="37"/>
        <v>1</v>
      </c>
      <c r="CH724" s="1355"/>
      <c r="CI724" s="1337">
        <f t="shared" si="38"/>
        <v>3</v>
      </c>
      <c r="CJ724" s="1339"/>
      <c r="CK724" s="1353">
        <f t="shared" si="16"/>
        <v>0</v>
      </c>
      <c r="CL724" s="1355"/>
      <c r="CM724" s="1337">
        <f t="shared" si="17"/>
        <v>0</v>
      </c>
      <c r="CN724" s="1339"/>
      <c r="CO724" s="3"/>
      <c r="CP724" s="1334">
        <f t="shared" si="18"/>
        <v>0</v>
      </c>
      <c r="CQ724" s="1335"/>
      <c r="CR724" s="1335"/>
      <c r="CS724" s="1335"/>
      <c r="CT724" s="1336"/>
      <c r="CU724" s="1356">
        <f t="shared" si="19"/>
        <v>0</v>
      </c>
      <c r="CV724" s="1356"/>
      <c r="CW724" s="1356"/>
      <c r="CX724" s="1356"/>
      <c r="CY724" s="1356"/>
      <c r="CZ724" s="1356">
        <f t="shared" si="20"/>
        <v>3</v>
      </c>
      <c r="DA724" s="1356"/>
      <c r="DB724" s="1356"/>
      <c r="DC724" s="1356"/>
      <c r="DD724" s="1356"/>
      <c r="DE724" s="1356">
        <f t="shared" si="21"/>
        <v>0</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t="str">
        <f t="shared" si="31"/>
        <v/>
      </c>
      <c r="FF724" s="1354"/>
      <c r="FG724" s="1354"/>
      <c r="FH724" s="1354"/>
      <c r="FI724" s="1355"/>
      <c r="FJ724" s="1353">
        <f t="shared" si="32"/>
        <v>1747.432</v>
      </c>
      <c r="FK724" s="1354"/>
      <c r="FL724" s="1354"/>
      <c r="FM724" s="1354"/>
      <c r="FN724" s="1355"/>
      <c r="FO724" s="1353" t="str">
        <f t="shared" si="33"/>
        <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3" customHeight="1">
      <c r="B725" s="1357" t="s">
        <v>163</v>
      </c>
      <c r="C725" s="1358"/>
      <c r="D725" s="1358"/>
      <c r="E725" s="1358"/>
      <c r="F725" s="1359"/>
      <c r="G725" s="1366">
        <v>4</v>
      </c>
      <c r="H725" s="1367"/>
      <c r="I725" s="1367"/>
      <c r="J725" s="1368"/>
      <c r="K725" s="1608">
        <v>706</v>
      </c>
      <c r="L725" s="1609"/>
      <c r="M725" s="1609"/>
      <c r="N725" s="1610"/>
      <c r="O725" s="1838">
        <v>1002</v>
      </c>
      <c r="P725" s="1471"/>
      <c r="Q725" s="1471"/>
      <c r="R725" s="1471"/>
      <c r="S725" s="1472"/>
      <c r="T725" s="1470">
        <f t="shared" si="40"/>
        <v>114</v>
      </c>
      <c r="U725" s="1471"/>
      <c r="V725" s="1471"/>
      <c r="W725" s="1472"/>
      <c r="X725" s="1360">
        <f t="shared" si="8"/>
        <v>1116</v>
      </c>
      <c r="Y725" s="1361"/>
      <c r="Z725" s="1361"/>
      <c r="AA725" s="1361"/>
      <c r="AB725" s="1362"/>
      <c r="AC725" s="1617">
        <v>0.3</v>
      </c>
      <c r="AD725" s="1618"/>
      <c r="AE725" s="1618"/>
      <c r="AF725" s="1618"/>
      <c r="AG725" s="1619"/>
      <c r="AH725" s="1363">
        <f t="shared" si="36"/>
        <v>0.29983879634605048</v>
      </c>
      <c r="AI725" s="1364"/>
      <c r="AJ725" s="1365"/>
      <c r="AK725" s="1357" t="s">
        <v>2098</v>
      </c>
      <c r="AL725" s="1358"/>
      <c r="AM725" s="1358"/>
      <c r="AN725" s="1358"/>
      <c r="AO725" s="1359"/>
      <c r="AP725" s="3"/>
      <c r="AQ725" s="3"/>
      <c r="AR725" s="3"/>
      <c r="AS725" s="3"/>
      <c r="AY725" s="1085"/>
      <c r="AZ725" s="118">
        <f t="shared" si="9"/>
        <v>3722</v>
      </c>
      <c r="BA725" s="3"/>
      <c r="BB725" s="3"/>
      <c r="BC725" s="3"/>
      <c r="BD725" s="3"/>
      <c r="BE725" s="204"/>
      <c r="BF725" s="294">
        <f t="shared" si="10"/>
        <v>4</v>
      </c>
      <c r="BG725" s="297">
        <f t="shared" si="11"/>
        <v>4.1237113402061855E-2</v>
      </c>
      <c r="BH725" s="298">
        <f t="shared" si="12"/>
        <v>1.2371134020618556E-2</v>
      </c>
      <c r="BI725" s="3"/>
      <c r="BJ725" s="3"/>
      <c r="BK725" s="3"/>
      <c r="BL725" s="3"/>
      <c r="BM725" s="3"/>
      <c r="BN725" s="3"/>
      <c r="BS725" s="294">
        <f t="shared" si="13"/>
        <v>4</v>
      </c>
      <c r="BT725" s="297">
        <f t="shared" si="14"/>
        <v>4.1237113402061855E-2</v>
      </c>
      <c r="BU725" s="298">
        <f t="shared" si="15"/>
        <v>1.2364486447259813E-2</v>
      </c>
      <c r="BV725" s="292"/>
      <c r="BW725" s="3"/>
      <c r="BX725" s="3"/>
      <c r="BY725" s="3"/>
      <c r="BZ725" s="3"/>
      <c r="CA725" s="3"/>
      <c r="CB725" s="3"/>
      <c r="CC725" s="3"/>
      <c r="CE725" s="3"/>
      <c r="CF725" s="3"/>
      <c r="CG725" s="1353">
        <f t="shared" si="37"/>
        <v>0</v>
      </c>
      <c r="CH725" s="1355"/>
      <c r="CI725" s="1337">
        <f t="shared" si="38"/>
        <v>0</v>
      </c>
      <c r="CJ725" s="1339"/>
      <c r="CK725" s="1353">
        <f t="shared" si="16"/>
        <v>1</v>
      </c>
      <c r="CL725" s="1355"/>
      <c r="CM725" s="1337">
        <f t="shared" si="17"/>
        <v>4</v>
      </c>
      <c r="CN725" s="1339"/>
      <c r="CO725" s="3"/>
      <c r="CP725" s="1334">
        <f t="shared" si="18"/>
        <v>0</v>
      </c>
      <c r="CQ725" s="1335"/>
      <c r="CR725" s="1335"/>
      <c r="CS725" s="1335"/>
      <c r="CT725" s="1336"/>
      <c r="CU725" s="1356">
        <f t="shared" si="19"/>
        <v>0</v>
      </c>
      <c r="CV725" s="1356"/>
      <c r="CW725" s="1356"/>
      <c r="CX725" s="1356"/>
      <c r="CY725" s="1356"/>
      <c r="CZ725" s="1356">
        <f t="shared" si="20"/>
        <v>4</v>
      </c>
      <c r="DA725" s="1356"/>
      <c r="DB725" s="1356"/>
      <c r="DC725" s="1356"/>
      <c r="DD725" s="1356"/>
      <c r="DE725" s="1356">
        <f t="shared" si="21"/>
        <v>0</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0</v>
      </c>
      <c r="EA725" s="1370"/>
      <c r="EB725" s="1370"/>
      <c r="EC725" s="1370"/>
      <c r="ED725" s="1370"/>
      <c r="EE725" s="1370">
        <f t="shared" si="26"/>
        <v>4</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t="str">
        <f t="shared" si="31"/>
        <v/>
      </c>
      <c r="FF725" s="1354"/>
      <c r="FG725" s="1354"/>
      <c r="FH725" s="1354"/>
      <c r="FI725" s="1355"/>
      <c r="FJ725" s="1353">
        <f t="shared" si="32"/>
        <v>1002</v>
      </c>
      <c r="FK725" s="1354"/>
      <c r="FL725" s="1354"/>
      <c r="FM725" s="1354"/>
      <c r="FN725" s="1355"/>
      <c r="FO725" s="1353" t="str">
        <f t="shared" si="33"/>
        <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3" customHeight="1">
      <c r="B726" s="1357" t="s">
        <v>164</v>
      </c>
      <c r="C726" s="1358"/>
      <c r="D726" s="1358"/>
      <c r="E726" s="1358"/>
      <c r="F726" s="1359"/>
      <c r="G726" s="1366">
        <v>16</v>
      </c>
      <c r="H726" s="1367"/>
      <c r="I726" s="1367"/>
      <c r="J726" s="1368"/>
      <c r="K726" s="1608">
        <v>989</v>
      </c>
      <c r="L726" s="1609"/>
      <c r="M726" s="1609"/>
      <c r="N726" s="1610"/>
      <c r="O726" s="1470">
        <v>2864</v>
      </c>
      <c r="P726" s="1471"/>
      <c r="Q726" s="1471"/>
      <c r="R726" s="1471"/>
      <c r="S726" s="1472"/>
      <c r="T726" s="1470">
        <v>146</v>
      </c>
      <c r="U726" s="1471"/>
      <c r="V726" s="1471"/>
      <c r="W726" s="1472"/>
      <c r="X726" s="1360">
        <f t="shared" si="8"/>
        <v>3010</v>
      </c>
      <c r="Y726" s="1361"/>
      <c r="Z726" s="1361"/>
      <c r="AA726" s="1361"/>
      <c r="AB726" s="1362"/>
      <c r="AC726" s="1617">
        <v>0.7</v>
      </c>
      <c r="AD726" s="1618"/>
      <c r="AE726" s="1618"/>
      <c r="AF726" s="1618"/>
      <c r="AG726" s="1619"/>
      <c r="AH726" s="1363">
        <f t="shared" si="36"/>
        <v>0.7</v>
      </c>
      <c r="AI726" s="1364"/>
      <c r="AJ726" s="1365"/>
      <c r="AK726" s="1357" t="s">
        <v>591</v>
      </c>
      <c r="AL726" s="1358"/>
      <c r="AM726" s="1358"/>
      <c r="AN726" s="1358"/>
      <c r="AO726" s="1359"/>
      <c r="AP726" s="3"/>
      <c r="AQ726" s="3"/>
      <c r="AR726" s="3"/>
      <c r="AS726" s="3"/>
      <c r="AY726" s="1085"/>
      <c r="AZ726" s="118">
        <f t="shared" si="9"/>
        <v>4300</v>
      </c>
      <c r="BA726" s="3"/>
      <c r="BB726" s="3"/>
      <c r="BC726" s="3"/>
      <c r="BD726" s="3"/>
      <c r="BE726" s="204"/>
      <c r="BF726" s="294">
        <f t="shared" si="10"/>
        <v>16</v>
      </c>
      <c r="BG726" s="297">
        <f t="shared" si="11"/>
        <v>0.16494845360824742</v>
      </c>
      <c r="BH726" s="298">
        <f t="shared" si="12"/>
        <v>0.11546391752577319</v>
      </c>
      <c r="BI726" s="3"/>
      <c r="BJ726" s="3"/>
      <c r="BK726" s="3"/>
      <c r="BL726" s="3"/>
      <c r="BM726" s="3"/>
      <c r="BN726" s="3"/>
      <c r="BS726" s="294">
        <f t="shared" si="13"/>
        <v>16</v>
      </c>
      <c r="BT726" s="297">
        <f t="shared" si="14"/>
        <v>0.16494845360824742</v>
      </c>
      <c r="BU726" s="298">
        <f t="shared" si="15"/>
        <v>0.11546391752577319</v>
      </c>
      <c r="BV726" s="3"/>
      <c r="BW726" s="3"/>
      <c r="BX726" s="3"/>
      <c r="BY726" s="3"/>
      <c r="BZ726" s="3"/>
      <c r="CA726" s="3"/>
      <c r="CB726" s="3"/>
      <c r="CC726" s="3"/>
      <c r="CE726" s="3"/>
      <c r="CF726" s="3"/>
      <c r="CG726" s="1353">
        <f t="shared" si="37"/>
        <v>0</v>
      </c>
      <c r="CH726" s="1355"/>
      <c r="CI726" s="1337">
        <f t="shared" si="38"/>
        <v>0</v>
      </c>
      <c r="CJ726" s="1339"/>
      <c r="CK726" s="1353">
        <f t="shared" si="16"/>
        <v>0</v>
      </c>
      <c r="CL726" s="1355"/>
      <c r="CM726" s="1337">
        <f t="shared" si="17"/>
        <v>0</v>
      </c>
      <c r="CN726" s="1339"/>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16</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f t="shared" si="33"/>
        <v>2864</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3" customHeight="1">
      <c r="A727" s="4"/>
      <c r="B727" s="1357" t="s">
        <v>164</v>
      </c>
      <c r="C727" s="1358"/>
      <c r="D727" s="1358"/>
      <c r="E727" s="1358"/>
      <c r="F727" s="1359"/>
      <c r="G727" s="1366">
        <v>10</v>
      </c>
      <c r="H727" s="1367"/>
      <c r="I727" s="1367"/>
      <c r="J727" s="1368"/>
      <c r="K727" s="1608">
        <v>989</v>
      </c>
      <c r="L727" s="1609"/>
      <c r="M727" s="1609"/>
      <c r="N727" s="1610"/>
      <c r="O727" s="1470">
        <v>2434</v>
      </c>
      <c r="P727" s="1471"/>
      <c r="Q727" s="1471"/>
      <c r="R727" s="1471"/>
      <c r="S727" s="1472"/>
      <c r="T727" s="1470">
        <f>Y832</f>
        <v>146</v>
      </c>
      <c r="U727" s="1471"/>
      <c r="V727" s="1471"/>
      <c r="W727" s="1472"/>
      <c r="X727" s="1360">
        <f t="shared" si="8"/>
        <v>2580</v>
      </c>
      <c r="Y727" s="1361"/>
      <c r="Z727" s="1361"/>
      <c r="AA727" s="1361"/>
      <c r="AB727" s="1362"/>
      <c r="AC727" s="1617">
        <v>0.6</v>
      </c>
      <c r="AD727" s="1618"/>
      <c r="AE727" s="1618"/>
      <c r="AF727" s="1618"/>
      <c r="AG727" s="1619"/>
      <c r="AH727" s="1363">
        <f t="shared" si="36"/>
        <v>0.6</v>
      </c>
      <c r="AI727" s="1364"/>
      <c r="AJ727" s="1365"/>
      <c r="AK727" s="1357" t="s">
        <v>591</v>
      </c>
      <c r="AL727" s="1358"/>
      <c r="AM727" s="1358"/>
      <c r="AN727" s="1358"/>
      <c r="AO727" s="1359"/>
      <c r="AP727" s="3"/>
      <c r="AQ727" s="3"/>
      <c r="AR727" s="3"/>
      <c r="AS727" s="3"/>
      <c r="AY727" s="1085"/>
      <c r="AZ727" s="118">
        <f t="shared" si="9"/>
        <v>4300</v>
      </c>
      <c r="BA727" s="3"/>
      <c r="BB727" s="3"/>
      <c r="BC727" s="3"/>
      <c r="BD727" s="3"/>
      <c r="BE727" s="204"/>
      <c r="BF727" s="294">
        <f t="shared" si="10"/>
        <v>10</v>
      </c>
      <c r="BG727" s="297">
        <f t="shared" si="11"/>
        <v>0.10309278350515463</v>
      </c>
      <c r="BH727" s="298">
        <f t="shared" si="12"/>
        <v>6.1855670103092779E-2</v>
      </c>
      <c r="BI727" s="3"/>
      <c r="BJ727" s="3"/>
      <c r="BK727" s="3"/>
      <c r="BL727" s="3"/>
      <c r="BM727" s="3"/>
      <c r="BN727" s="3"/>
      <c r="BS727" s="294">
        <f t="shared" si="13"/>
        <v>10</v>
      </c>
      <c r="BT727" s="297">
        <f t="shared" si="14"/>
        <v>0.10309278350515463</v>
      </c>
      <c r="BU727" s="298">
        <f t="shared" si="15"/>
        <v>6.1855670103092779E-2</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10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f t="shared" si="33"/>
        <v>2434</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3" customHeight="1">
      <c r="A728" s="4"/>
      <c r="B728" s="1357" t="s">
        <v>164</v>
      </c>
      <c r="C728" s="1358"/>
      <c r="D728" s="1358"/>
      <c r="E728" s="1358"/>
      <c r="F728" s="1359"/>
      <c r="G728" s="1366">
        <v>4</v>
      </c>
      <c r="H728" s="1367"/>
      <c r="I728" s="1367"/>
      <c r="J728" s="1368"/>
      <c r="K728" s="1608">
        <v>989</v>
      </c>
      <c r="L728" s="1609"/>
      <c r="M728" s="1609"/>
      <c r="N728" s="1610"/>
      <c r="O728" s="1470">
        <v>2004</v>
      </c>
      <c r="P728" s="1471"/>
      <c r="Q728" s="1471"/>
      <c r="R728" s="1471"/>
      <c r="S728" s="1472"/>
      <c r="T728" s="1470">
        <f>T727</f>
        <v>146</v>
      </c>
      <c r="U728" s="1471"/>
      <c r="V728" s="1471"/>
      <c r="W728" s="1472"/>
      <c r="X728" s="1360">
        <f t="shared" si="8"/>
        <v>2150</v>
      </c>
      <c r="Y728" s="1361"/>
      <c r="Z728" s="1361"/>
      <c r="AA728" s="1361"/>
      <c r="AB728" s="1362"/>
      <c r="AC728" s="1617">
        <v>0.5</v>
      </c>
      <c r="AD728" s="1618"/>
      <c r="AE728" s="1618"/>
      <c r="AF728" s="1618"/>
      <c r="AG728" s="1619"/>
      <c r="AH728" s="1363">
        <f t="shared" si="36"/>
        <v>0.5</v>
      </c>
      <c r="AI728" s="1364"/>
      <c r="AJ728" s="1365"/>
      <c r="AK728" s="1357" t="s">
        <v>591</v>
      </c>
      <c r="AL728" s="1358"/>
      <c r="AM728" s="1358"/>
      <c r="AN728" s="1358"/>
      <c r="AO728" s="1359"/>
      <c r="AP728" s="3"/>
      <c r="AQ728" s="3"/>
      <c r="AR728" s="3"/>
      <c r="AS728" s="3"/>
      <c r="AY728" s="1085"/>
      <c r="AZ728" s="118">
        <f t="shared" si="9"/>
        <v>4300</v>
      </c>
      <c r="BA728" s="3"/>
      <c r="BB728" s="3"/>
      <c r="BC728" s="3"/>
      <c r="BD728" s="3"/>
      <c r="BE728" s="204"/>
      <c r="BF728" s="294">
        <f t="shared" si="10"/>
        <v>4</v>
      </c>
      <c r="BG728" s="297">
        <f t="shared" si="11"/>
        <v>4.1237113402061855E-2</v>
      </c>
      <c r="BH728" s="298">
        <f t="shared" si="12"/>
        <v>2.0618556701030927E-2</v>
      </c>
      <c r="BI728" s="3"/>
      <c r="BJ728" s="3"/>
      <c r="BK728" s="3"/>
      <c r="BL728" s="3"/>
      <c r="BM728" s="3"/>
      <c r="BN728" s="3"/>
      <c r="BS728" s="294">
        <f t="shared" si="13"/>
        <v>4</v>
      </c>
      <c r="BT728" s="297">
        <f t="shared" si="14"/>
        <v>4.1237113402061855E-2</v>
      </c>
      <c r="BU728" s="298">
        <f t="shared" si="15"/>
        <v>2.0618556701030927E-2</v>
      </c>
      <c r="BV728" s="3"/>
      <c r="BW728" s="3"/>
      <c r="BX728" s="3"/>
      <c r="BY728" s="3"/>
      <c r="BZ728" s="3"/>
      <c r="CA728" s="3"/>
      <c r="CB728" s="3"/>
      <c r="CC728" s="3"/>
      <c r="CE728" s="3"/>
      <c r="CF728" s="3"/>
      <c r="CG728" s="1353">
        <f t="shared" si="37"/>
        <v>1</v>
      </c>
      <c r="CH728" s="1355"/>
      <c r="CI728" s="1337">
        <f t="shared" si="38"/>
        <v>4</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4</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f t="shared" si="33"/>
        <v>2004</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3" customHeight="1">
      <c r="A729" s="4"/>
      <c r="B729" s="1357" t="s">
        <v>164</v>
      </c>
      <c r="C729" s="1358"/>
      <c r="D729" s="1358"/>
      <c r="E729" s="1358"/>
      <c r="F729" s="1359"/>
      <c r="G729" s="1366">
        <v>4</v>
      </c>
      <c r="H729" s="1367"/>
      <c r="I729" s="1367"/>
      <c r="J729" s="1368"/>
      <c r="K729" s="1608">
        <v>989</v>
      </c>
      <c r="L729" s="1609"/>
      <c r="M729" s="1609"/>
      <c r="N729" s="1610"/>
      <c r="O729" s="1470">
        <v>1144.4480000000001</v>
      </c>
      <c r="P729" s="1471"/>
      <c r="Q729" s="1471"/>
      <c r="R729" s="1471"/>
      <c r="S729" s="1472"/>
      <c r="T729" s="1470">
        <f t="shared" ref="T729" si="41">T728</f>
        <v>146</v>
      </c>
      <c r="U729" s="1471"/>
      <c r="V729" s="1471"/>
      <c r="W729" s="1472"/>
      <c r="X729" s="1360">
        <f t="shared" si="8"/>
        <v>1290.4480000000001</v>
      </c>
      <c r="Y729" s="1361"/>
      <c r="Z729" s="1361"/>
      <c r="AA729" s="1361"/>
      <c r="AB729" s="1362"/>
      <c r="AC729" s="1617">
        <v>0.3</v>
      </c>
      <c r="AD729" s="1618"/>
      <c r="AE729" s="1618"/>
      <c r="AF729" s="1618"/>
      <c r="AG729" s="1619"/>
      <c r="AH729" s="1363">
        <f t="shared" si="36"/>
        <v>0.30010418604651162</v>
      </c>
      <c r="AI729" s="1364"/>
      <c r="AJ729" s="1365"/>
      <c r="AK729" s="1357" t="s">
        <v>591</v>
      </c>
      <c r="AL729" s="1358"/>
      <c r="AM729" s="1358"/>
      <c r="AN729" s="1358"/>
      <c r="AO729" s="1359"/>
      <c r="AP729" s="3"/>
      <c r="AQ729" s="3"/>
      <c r="AR729" s="3"/>
      <c r="AS729" s="3"/>
      <c r="AY729" s="1085"/>
      <c r="AZ729" s="118">
        <f t="shared" si="9"/>
        <v>4300</v>
      </c>
      <c r="BA729" s="3"/>
      <c r="BB729" s="3"/>
      <c r="BC729" s="3"/>
      <c r="BD729" s="3"/>
      <c r="BE729" s="204"/>
      <c r="BF729" s="294">
        <f t="shared" si="10"/>
        <v>4</v>
      </c>
      <c r="BG729" s="297">
        <f t="shared" si="11"/>
        <v>4.1237113402061855E-2</v>
      </c>
      <c r="BH729" s="298">
        <f t="shared" si="12"/>
        <v>1.2371134020618556E-2</v>
      </c>
      <c r="BI729" s="3"/>
      <c r="BJ729" s="3"/>
      <c r="BK729" s="3"/>
      <c r="BL729" s="3"/>
      <c r="BM729" s="3"/>
      <c r="BN729" s="3"/>
      <c r="BS729" s="294">
        <f t="shared" si="13"/>
        <v>4</v>
      </c>
      <c r="BT729" s="297">
        <f t="shared" si="14"/>
        <v>4.1237113402061855E-2</v>
      </c>
      <c r="BU729" s="298">
        <f t="shared" si="15"/>
        <v>1.2375430352433469E-2</v>
      </c>
      <c r="BV729" s="3"/>
      <c r="BW729" s="3"/>
      <c r="BX729" s="3"/>
      <c r="BY729" s="3"/>
      <c r="BZ729" s="3"/>
      <c r="CA729" s="3"/>
      <c r="CB729" s="3"/>
      <c r="CC729" s="3"/>
      <c r="CE729" s="3"/>
      <c r="CF729" s="3"/>
      <c r="CG729" s="1353">
        <f t="shared" si="37"/>
        <v>0</v>
      </c>
      <c r="CH729" s="1355"/>
      <c r="CI729" s="1337">
        <f t="shared" si="38"/>
        <v>0</v>
      </c>
      <c r="CJ729" s="1339"/>
      <c r="CK729" s="1353">
        <f t="shared" si="16"/>
        <v>1</v>
      </c>
      <c r="CL729" s="1355"/>
      <c r="CM729" s="1337">
        <f t="shared" si="17"/>
        <v>4</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4</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4</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f t="shared" si="33"/>
        <v>1144.4480000000001</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3" customHeight="1">
      <c r="B730" s="1357"/>
      <c r="C730" s="1358"/>
      <c r="D730" s="1358"/>
      <c r="E730" s="1358"/>
      <c r="F730" s="1359"/>
      <c r="G730" s="1366"/>
      <c r="H730" s="1367"/>
      <c r="I730" s="1367"/>
      <c r="J730" s="1368"/>
      <c r="K730" s="1608"/>
      <c r="L730" s="1609"/>
      <c r="M730" s="1609"/>
      <c r="N730" s="1610"/>
      <c r="O730" s="1470"/>
      <c r="P730" s="1471"/>
      <c r="Q730" s="1471"/>
      <c r="R730" s="1471"/>
      <c r="S730" s="1472"/>
      <c r="T730" s="1470"/>
      <c r="U730" s="1471"/>
      <c r="V730" s="1471"/>
      <c r="W730" s="1472"/>
      <c r="X730" s="1360">
        <f t="shared" si="8"/>
        <v>0</v>
      </c>
      <c r="Y730" s="1361"/>
      <c r="Z730" s="1361"/>
      <c r="AA730" s="1361"/>
      <c r="AB730" s="1362"/>
      <c r="AC730" s="1617"/>
      <c r="AD730" s="1618"/>
      <c r="AE730" s="1618"/>
      <c r="AF730" s="1618"/>
      <c r="AG730" s="1619"/>
      <c r="AH730" s="1363" t="str">
        <f t="shared" si="36"/>
        <v/>
      </c>
      <c r="AI730" s="1364"/>
      <c r="AJ730" s="1365"/>
      <c r="AK730" s="1357" t="s">
        <v>591</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3" customHeight="1">
      <c r="B731" s="1357"/>
      <c r="C731" s="1358"/>
      <c r="D731" s="1358"/>
      <c r="E731" s="1358"/>
      <c r="F731" s="1359"/>
      <c r="G731" s="1366"/>
      <c r="H731" s="1367"/>
      <c r="I731" s="1367"/>
      <c r="J731" s="1368"/>
      <c r="K731" s="1608"/>
      <c r="L731" s="1609"/>
      <c r="M731" s="1609"/>
      <c r="N731" s="1610"/>
      <c r="O731" s="1470"/>
      <c r="P731" s="1471"/>
      <c r="Q731" s="1471"/>
      <c r="R731" s="1471"/>
      <c r="S731" s="1472"/>
      <c r="T731" s="1470"/>
      <c r="U731" s="1471"/>
      <c r="V731" s="1471"/>
      <c r="W731" s="1472"/>
      <c r="X731" s="1360">
        <f t="shared" si="8"/>
        <v>0</v>
      </c>
      <c r="Y731" s="1361"/>
      <c r="Z731" s="1361"/>
      <c r="AA731" s="1361"/>
      <c r="AB731" s="1362"/>
      <c r="AC731" s="1617"/>
      <c r="AD731" s="1618"/>
      <c r="AE731" s="1618"/>
      <c r="AF731" s="1618"/>
      <c r="AG731" s="1619"/>
      <c r="AH731" s="1363" t="str">
        <f t="shared" si="36"/>
        <v/>
      </c>
      <c r="AI731" s="1364"/>
      <c r="AJ731" s="1365"/>
      <c r="AK731" s="1357" t="s">
        <v>591</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3" customHeight="1">
      <c r="B732" s="1357"/>
      <c r="C732" s="1358"/>
      <c r="D732" s="1358"/>
      <c r="E732" s="1358"/>
      <c r="F732" s="1359"/>
      <c r="G732" s="1366"/>
      <c r="H732" s="1367"/>
      <c r="I732" s="1367"/>
      <c r="J732" s="1368"/>
      <c r="K732" s="1608"/>
      <c r="L732" s="1609"/>
      <c r="M732" s="1609"/>
      <c r="N732" s="1610"/>
      <c r="O732" s="1470"/>
      <c r="P732" s="1471"/>
      <c r="Q732" s="1471"/>
      <c r="R732" s="1471"/>
      <c r="S732" s="1472"/>
      <c r="T732" s="1470"/>
      <c r="U732" s="1471"/>
      <c r="V732" s="1471"/>
      <c r="W732" s="1472"/>
      <c r="X732" s="1360">
        <f t="shared" si="8"/>
        <v>0</v>
      </c>
      <c r="Y732" s="1361"/>
      <c r="Z732" s="1361"/>
      <c r="AA732" s="1361"/>
      <c r="AB732" s="1362"/>
      <c r="AC732" s="1617"/>
      <c r="AD732" s="1618"/>
      <c r="AE732" s="1618"/>
      <c r="AF732" s="1618"/>
      <c r="AG732" s="1619"/>
      <c r="AH732" s="1363" t="str">
        <f t="shared" si="36"/>
        <v/>
      </c>
      <c r="AI732" s="1364"/>
      <c r="AJ732" s="1365"/>
      <c r="AK732" s="1357" t="s">
        <v>591</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3" customHeight="1">
      <c r="B733" s="1357"/>
      <c r="C733" s="1358"/>
      <c r="D733" s="1358"/>
      <c r="E733" s="1358"/>
      <c r="F733" s="1359"/>
      <c r="G733" s="1366"/>
      <c r="H733" s="1367"/>
      <c r="I733" s="1367"/>
      <c r="J733" s="1368"/>
      <c r="K733" s="1608"/>
      <c r="L733" s="1609"/>
      <c r="M733" s="1609"/>
      <c r="N733" s="1610"/>
      <c r="O733" s="1470"/>
      <c r="P733" s="1471"/>
      <c r="Q733" s="1471"/>
      <c r="R733" s="1471"/>
      <c r="S733" s="1472"/>
      <c r="T733" s="1470"/>
      <c r="U733" s="1471"/>
      <c r="V733" s="1471"/>
      <c r="W733" s="1472"/>
      <c r="X733" s="1360">
        <f t="shared" si="8"/>
        <v>0</v>
      </c>
      <c r="Y733" s="1361"/>
      <c r="Z733" s="1361"/>
      <c r="AA733" s="1361"/>
      <c r="AB733" s="1362"/>
      <c r="AC733" s="1617"/>
      <c r="AD733" s="1618"/>
      <c r="AE733" s="1618"/>
      <c r="AF733" s="1618"/>
      <c r="AG733" s="1619"/>
      <c r="AH733" s="1363" t="str">
        <f t="shared" si="36"/>
        <v/>
      </c>
      <c r="AI733" s="1364"/>
      <c r="AJ733" s="1365"/>
      <c r="AK733" s="1357" t="s">
        <v>591</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3" customHeight="1">
      <c r="B734" s="1357"/>
      <c r="C734" s="1358"/>
      <c r="D734" s="1358"/>
      <c r="E734" s="1358"/>
      <c r="F734" s="1359"/>
      <c r="G734" s="1366"/>
      <c r="H734" s="1367"/>
      <c r="I734" s="1367"/>
      <c r="J734" s="1368"/>
      <c r="K734" s="1608"/>
      <c r="L734" s="1609"/>
      <c r="M734" s="1609"/>
      <c r="N734" s="1610"/>
      <c r="O734" s="1470"/>
      <c r="P734" s="1471"/>
      <c r="Q734" s="1471"/>
      <c r="R734" s="1471"/>
      <c r="S734" s="1472"/>
      <c r="T734" s="1470"/>
      <c r="U734" s="1471"/>
      <c r="V734" s="1471"/>
      <c r="W734" s="1472"/>
      <c r="X734" s="1360">
        <f t="shared" si="8"/>
        <v>0</v>
      </c>
      <c r="Y734" s="1361"/>
      <c r="Z734" s="1361"/>
      <c r="AA734" s="1361"/>
      <c r="AB734" s="1362"/>
      <c r="AC734" s="1617"/>
      <c r="AD734" s="1618"/>
      <c r="AE734" s="1618"/>
      <c r="AF734" s="1618"/>
      <c r="AG734" s="1619"/>
      <c r="AH734" s="1363" t="str">
        <f t="shared" si="36"/>
        <v/>
      </c>
      <c r="AI734" s="1364"/>
      <c r="AJ734" s="1365"/>
      <c r="AK734" s="1357" t="s">
        <v>591</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3" customHeight="1">
      <c r="B735" s="1357"/>
      <c r="C735" s="1358"/>
      <c r="D735" s="1358"/>
      <c r="E735" s="1358"/>
      <c r="F735" s="1359"/>
      <c r="G735" s="1366"/>
      <c r="H735" s="1367"/>
      <c r="I735" s="1367"/>
      <c r="J735" s="1368"/>
      <c r="K735" s="1608"/>
      <c r="L735" s="1609"/>
      <c r="M735" s="1609"/>
      <c r="N735" s="1610"/>
      <c r="O735" s="1470"/>
      <c r="P735" s="1471"/>
      <c r="Q735" s="1471"/>
      <c r="R735" s="1471"/>
      <c r="S735" s="1472"/>
      <c r="T735" s="1470"/>
      <c r="U735" s="1471"/>
      <c r="V735" s="1471"/>
      <c r="W735" s="1472"/>
      <c r="X735" s="1360">
        <f t="shared" si="8"/>
        <v>0</v>
      </c>
      <c r="Y735" s="1361"/>
      <c r="Z735" s="1361"/>
      <c r="AA735" s="1361"/>
      <c r="AB735" s="1362"/>
      <c r="AC735" s="1617"/>
      <c r="AD735" s="1618"/>
      <c r="AE735" s="1618"/>
      <c r="AF735" s="1618"/>
      <c r="AG735" s="1619"/>
      <c r="AH735" s="1363" t="str">
        <f t="shared" si="36"/>
        <v/>
      </c>
      <c r="AI735" s="1364"/>
      <c r="AJ735" s="1365"/>
      <c r="AK735" s="1357" t="s">
        <v>591</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3" customHeight="1">
      <c r="B736" s="1357"/>
      <c r="C736" s="1358"/>
      <c r="D736" s="1358"/>
      <c r="E736" s="1358"/>
      <c r="F736" s="1359"/>
      <c r="G736" s="1366"/>
      <c r="H736" s="1367"/>
      <c r="I736" s="1367"/>
      <c r="J736" s="1368"/>
      <c r="K736" s="1608"/>
      <c r="L736" s="1609"/>
      <c r="M736" s="1609"/>
      <c r="N736" s="1610"/>
      <c r="O736" s="1470"/>
      <c r="P736" s="1471"/>
      <c r="Q736" s="1471"/>
      <c r="R736" s="1471"/>
      <c r="S736" s="1472"/>
      <c r="T736" s="1470"/>
      <c r="U736" s="1471"/>
      <c r="V736" s="1471"/>
      <c r="W736" s="1472"/>
      <c r="X736" s="1360">
        <f t="shared" si="8"/>
        <v>0</v>
      </c>
      <c r="Y736" s="1361"/>
      <c r="Z736" s="1361"/>
      <c r="AA736" s="1361"/>
      <c r="AB736" s="1362"/>
      <c r="AC736" s="1617"/>
      <c r="AD736" s="1618"/>
      <c r="AE736" s="1618"/>
      <c r="AF736" s="1618"/>
      <c r="AG736" s="1619"/>
      <c r="AH736" s="1363" t="str">
        <f t="shared" si="36"/>
        <v/>
      </c>
      <c r="AI736" s="1364"/>
      <c r="AJ736" s="1365"/>
      <c r="AK736" s="1357" t="s">
        <v>591</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3" customHeight="1">
      <c r="B737" s="1357"/>
      <c r="C737" s="1358"/>
      <c r="D737" s="1358"/>
      <c r="E737" s="1358"/>
      <c r="F737" s="1359"/>
      <c r="G737" s="1366"/>
      <c r="H737" s="1367"/>
      <c r="I737" s="1367"/>
      <c r="J737" s="1368"/>
      <c r="K737" s="1608"/>
      <c r="L737" s="1609"/>
      <c r="M737" s="1609"/>
      <c r="N737" s="1610"/>
      <c r="O737" s="1470"/>
      <c r="P737" s="1471"/>
      <c r="Q737" s="1471"/>
      <c r="R737" s="1471"/>
      <c r="S737" s="1472"/>
      <c r="T737" s="1470"/>
      <c r="U737" s="1471"/>
      <c r="V737" s="1471"/>
      <c r="W737" s="1472"/>
      <c r="X737" s="1360">
        <f t="shared" si="8"/>
        <v>0</v>
      </c>
      <c r="Y737" s="1361"/>
      <c r="Z737" s="1361"/>
      <c r="AA737" s="1361"/>
      <c r="AB737" s="1362"/>
      <c r="AC737" s="1617"/>
      <c r="AD737" s="1618"/>
      <c r="AE737" s="1618"/>
      <c r="AF737" s="1618"/>
      <c r="AG737" s="1619"/>
      <c r="AH737" s="1363" t="str">
        <f t="shared" si="36"/>
        <v/>
      </c>
      <c r="AI737" s="1364"/>
      <c r="AJ737" s="1365"/>
      <c r="AK737" s="1357" t="s">
        <v>591</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3" customHeight="1">
      <c r="B738" s="1357"/>
      <c r="C738" s="1358"/>
      <c r="D738" s="1358"/>
      <c r="E738" s="1358"/>
      <c r="F738" s="1359"/>
      <c r="G738" s="1366"/>
      <c r="H738" s="1367"/>
      <c r="I738" s="1367"/>
      <c r="J738" s="1368"/>
      <c r="K738" s="1608"/>
      <c r="L738" s="1609"/>
      <c r="M738" s="1609"/>
      <c r="N738" s="1610"/>
      <c r="O738" s="1470"/>
      <c r="P738" s="1471"/>
      <c r="Q738" s="1471"/>
      <c r="R738" s="1471"/>
      <c r="S738" s="1472"/>
      <c r="T738" s="1470"/>
      <c r="U738" s="1471"/>
      <c r="V738" s="1471"/>
      <c r="W738" s="1472"/>
      <c r="X738" s="1360">
        <f t="shared" si="8"/>
        <v>0</v>
      </c>
      <c r="Y738" s="1361"/>
      <c r="Z738" s="1361"/>
      <c r="AA738" s="1361"/>
      <c r="AB738" s="1362"/>
      <c r="AC738" s="1617"/>
      <c r="AD738" s="1618"/>
      <c r="AE738" s="1618"/>
      <c r="AF738" s="1618"/>
      <c r="AG738" s="1619"/>
      <c r="AH738" s="1363" t="str">
        <f t="shared" si="36"/>
        <v/>
      </c>
      <c r="AI738" s="1364"/>
      <c r="AJ738" s="1365"/>
      <c r="AK738" s="1357" t="s">
        <v>591</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3" customHeight="1">
      <c r="B739" s="1357"/>
      <c r="C739" s="1358"/>
      <c r="D739" s="1358"/>
      <c r="E739" s="1358"/>
      <c r="F739" s="1359"/>
      <c r="G739" s="1366"/>
      <c r="H739" s="1367"/>
      <c r="I739" s="1367"/>
      <c r="J739" s="1368"/>
      <c r="K739" s="1608"/>
      <c r="L739" s="1609"/>
      <c r="M739" s="1609"/>
      <c r="N739" s="1610"/>
      <c r="O739" s="1470"/>
      <c r="P739" s="1471"/>
      <c r="Q739" s="1471"/>
      <c r="R739" s="1471"/>
      <c r="S739" s="1472"/>
      <c r="T739" s="1470"/>
      <c r="U739" s="1471"/>
      <c r="V739" s="1471"/>
      <c r="W739" s="1472"/>
      <c r="X739" s="1360">
        <f t="shared" si="8"/>
        <v>0</v>
      </c>
      <c r="Y739" s="1361"/>
      <c r="Z739" s="1361"/>
      <c r="AA739" s="1361"/>
      <c r="AB739" s="1362"/>
      <c r="AC739" s="1617"/>
      <c r="AD739" s="1618"/>
      <c r="AE739" s="1618"/>
      <c r="AF739" s="1618"/>
      <c r="AG739" s="1619"/>
      <c r="AH739" s="1363" t="str">
        <f t="shared" si="36"/>
        <v/>
      </c>
      <c r="AI739" s="1364"/>
      <c r="AJ739" s="1365"/>
      <c r="AK739" s="1357" t="s">
        <v>591</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3" customHeight="1">
      <c r="B740" s="1357"/>
      <c r="C740" s="1358"/>
      <c r="D740" s="1358"/>
      <c r="E740" s="1358"/>
      <c r="F740" s="1359"/>
      <c r="G740" s="1366"/>
      <c r="H740" s="1367"/>
      <c r="I740" s="1367"/>
      <c r="J740" s="1368"/>
      <c r="K740" s="1608"/>
      <c r="L740" s="1609"/>
      <c r="M740" s="1609"/>
      <c r="N740" s="1610"/>
      <c r="O740" s="1470"/>
      <c r="P740" s="1471"/>
      <c r="Q740" s="1471"/>
      <c r="R740" s="1471"/>
      <c r="S740" s="1472"/>
      <c r="T740" s="1470"/>
      <c r="U740" s="1471"/>
      <c r="V740" s="1471"/>
      <c r="W740" s="1472"/>
      <c r="X740" s="1360">
        <f t="shared" si="8"/>
        <v>0</v>
      </c>
      <c r="Y740" s="1361"/>
      <c r="Z740" s="1361"/>
      <c r="AA740" s="1361"/>
      <c r="AB740" s="1362"/>
      <c r="AC740" s="1617"/>
      <c r="AD740" s="1618"/>
      <c r="AE740" s="1618"/>
      <c r="AF740" s="1618"/>
      <c r="AG740" s="1619"/>
      <c r="AH740" s="1363" t="str">
        <f t="shared" si="36"/>
        <v/>
      </c>
      <c r="AI740" s="1364"/>
      <c r="AJ740" s="1365"/>
      <c r="AK740" s="1357" t="s">
        <v>591</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3" customHeight="1">
      <c r="B741" s="1357"/>
      <c r="C741" s="1358"/>
      <c r="D741" s="1358"/>
      <c r="E741" s="1358"/>
      <c r="F741" s="1359"/>
      <c r="G741" s="1366"/>
      <c r="H741" s="1367"/>
      <c r="I741" s="1367"/>
      <c r="J741" s="1368"/>
      <c r="K741" s="1608"/>
      <c r="L741" s="1609"/>
      <c r="M741" s="1609"/>
      <c r="N741" s="1610"/>
      <c r="O741" s="1470"/>
      <c r="P741" s="1471"/>
      <c r="Q741" s="1471"/>
      <c r="R741" s="1471"/>
      <c r="S741" s="1472"/>
      <c r="T741" s="1470"/>
      <c r="U741" s="1471"/>
      <c r="V741" s="1471"/>
      <c r="W741" s="1472"/>
      <c r="X741" s="1360">
        <f t="shared" si="8"/>
        <v>0</v>
      </c>
      <c r="Y741" s="1361"/>
      <c r="Z741" s="1361"/>
      <c r="AA741" s="1361"/>
      <c r="AB741" s="1362"/>
      <c r="AC741" s="1617"/>
      <c r="AD741" s="1618"/>
      <c r="AE741" s="1618"/>
      <c r="AF741" s="1618"/>
      <c r="AG741" s="1619"/>
      <c r="AH741" s="1363" t="str">
        <f t="shared" si="36"/>
        <v/>
      </c>
      <c r="AI741" s="1364"/>
      <c r="AJ741" s="1365"/>
      <c r="AK741" s="1357" t="s">
        <v>591</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3" customHeight="1">
      <c r="B742" s="1357"/>
      <c r="C742" s="1358"/>
      <c r="D742" s="1358"/>
      <c r="E742" s="1358"/>
      <c r="F742" s="1359"/>
      <c r="G742" s="1366"/>
      <c r="H742" s="1367"/>
      <c r="I742" s="1367"/>
      <c r="J742" s="1368"/>
      <c r="K742" s="1608"/>
      <c r="L742" s="1609"/>
      <c r="M742" s="1609"/>
      <c r="N742" s="1610"/>
      <c r="O742" s="1470"/>
      <c r="P742" s="1471"/>
      <c r="Q742" s="1471"/>
      <c r="R742" s="1471"/>
      <c r="S742" s="1472"/>
      <c r="T742" s="1470"/>
      <c r="U742" s="1471"/>
      <c r="V742" s="1471"/>
      <c r="W742" s="1472"/>
      <c r="X742" s="1360">
        <f t="shared" ref="X742:X751" si="42">O742+T742</f>
        <v>0</v>
      </c>
      <c r="Y742" s="1361"/>
      <c r="Z742" s="1361"/>
      <c r="AA742" s="1361"/>
      <c r="AB742" s="1362"/>
      <c r="AC742" s="1617"/>
      <c r="AD742" s="1618"/>
      <c r="AE742" s="1618"/>
      <c r="AF742" s="1618"/>
      <c r="AG742" s="1619"/>
      <c r="AH742" s="1363" t="str">
        <f t="shared" si="36"/>
        <v/>
      </c>
      <c r="AI742" s="1364"/>
      <c r="AJ742" s="1365"/>
      <c r="AK742" s="1357" t="s">
        <v>591</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3" customHeight="1">
      <c r="A743"/>
      <c r="B743" s="1357"/>
      <c r="C743" s="1358"/>
      <c r="D743" s="1358"/>
      <c r="E743" s="1358"/>
      <c r="F743" s="1359"/>
      <c r="G743" s="1366"/>
      <c r="H743" s="1367"/>
      <c r="I743" s="1367"/>
      <c r="J743" s="1368"/>
      <c r="K743" s="1608"/>
      <c r="L743" s="1609"/>
      <c r="M743" s="1609"/>
      <c r="N743" s="1610"/>
      <c r="O743" s="1470"/>
      <c r="P743" s="1471"/>
      <c r="Q743" s="1471"/>
      <c r="R743" s="1471"/>
      <c r="S743" s="1472"/>
      <c r="T743" s="1470"/>
      <c r="U743" s="1471"/>
      <c r="V743" s="1471"/>
      <c r="W743" s="1472"/>
      <c r="X743" s="1360">
        <f t="shared" si="42"/>
        <v>0</v>
      </c>
      <c r="Y743" s="1361"/>
      <c r="Z743" s="1361"/>
      <c r="AA743" s="1361"/>
      <c r="AB743" s="1362"/>
      <c r="AC743" s="1617"/>
      <c r="AD743" s="1618"/>
      <c r="AE743" s="1618"/>
      <c r="AF743" s="1618"/>
      <c r="AG743" s="1619"/>
      <c r="AH743" s="1363" t="str">
        <f t="shared" si="36"/>
        <v/>
      </c>
      <c r="AI743" s="1364"/>
      <c r="AJ743" s="1365"/>
      <c r="AK743" s="1357" t="s">
        <v>591</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3" customHeight="1">
      <c r="B744" s="1357"/>
      <c r="C744" s="1358"/>
      <c r="D744" s="1358"/>
      <c r="E744" s="1358"/>
      <c r="F744" s="1359"/>
      <c r="G744" s="1366"/>
      <c r="H744" s="1367"/>
      <c r="I744" s="1367"/>
      <c r="J744" s="1368"/>
      <c r="K744" s="1608"/>
      <c r="L744" s="1609"/>
      <c r="M744" s="1609"/>
      <c r="N744" s="1610"/>
      <c r="O744" s="1470"/>
      <c r="P744" s="1471"/>
      <c r="Q744" s="1471"/>
      <c r="R744" s="1471"/>
      <c r="S744" s="1472"/>
      <c r="T744" s="1470"/>
      <c r="U744" s="1471"/>
      <c r="V744" s="1471"/>
      <c r="W744" s="1472"/>
      <c r="X744" s="1360">
        <f t="shared" si="42"/>
        <v>0</v>
      </c>
      <c r="Y744" s="1361"/>
      <c r="Z744" s="1361"/>
      <c r="AA744" s="1361"/>
      <c r="AB744" s="1362"/>
      <c r="AC744" s="1617"/>
      <c r="AD744" s="1618"/>
      <c r="AE744" s="1618"/>
      <c r="AF744" s="1618"/>
      <c r="AG744" s="1619"/>
      <c r="AH744" s="1363" t="str">
        <f t="shared" si="36"/>
        <v/>
      </c>
      <c r="AI744" s="1364"/>
      <c r="AJ744" s="1365"/>
      <c r="AK744" s="1357" t="s">
        <v>591</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3" customHeight="1">
      <c r="B745" s="1357"/>
      <c r="C745" s="1358"/>
      <c r="D745" s="1358"/>
      <c r="E745" s="1358"/>
      <c r="F745" s="1359"/>
      <c r="G745" s="1366"/>
      <c r="H745" s="1367"/>
      <c r="I745" s="1367"/>
      <c r="J745" s="1368"/>
      <c r="K745" s="1608"/>
      <c r="L745" s="1609"/>
      <c r="M745" s="1609"/>
      <c r="N745" s="1610"/>
      <c r="O745" s="1470"/>
      <c r="P745" s="1471"/>
      <c r="Q745" s="1471"/>
      <c r="R745" s="1471"/>
      <c r="S745" s="1472"/>
      <c r="T745" s="1470"/>
      <c r="U745" s="1471"/>
      <c r="V745" s="1471"/>
      <c r="W745" s="1472"/>
      <c r="X745" s="1360">
        <f t="shared" si="42"/>
        <v>0</v>
      </c>
      <c r="Y745" s="1361"/>
      <c r="Z745" s="1361"/>
      <c r="AA745" s="1361"/>
      <c r="AB745" s="1362"/>
      <c r="AC745" s="1617"/>
      <c r="AD745" s="1618"/>
      <c r="AE745" s="1618"/>
      <c r="AF745" s="1618"/>
      <c r="AG745" s="1619"/>
      <c r="AH745" s="1363" t="str">
        <f t="shared" si="36"/>
        <v/>
      </c>
      <c r="AI745" s="1364"/>
      <c r="AJ745" s="1365"/>
      <c r="AK745" s="1357" t="s">
        <v>591</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3" customHeight="1">
      <c r="B746" s="1357"/>
      <c r="C746" s="1358"/>
      <c r="D746" s="1358"/>
      <c r="E746" s="1358"/>
      <c r="F746" s="1359"/>
      <c r="G746" s="1366"/>
      <c r="H746" s="1367"/>
      <c r="I746" s="1367"/>
      <c r="J746" s="1368"/>
      <c r="K746" s="1608"/>
      <c r="L746" s="1609"/>
      <c r="M746" s="1609"/>
      <c r="N746" s="1610"/>
      <c r="O746" s="1470"/>
      <c r="P746" s="1471"/>
      <c r="Q746" s="1471"/>
      <c r="R746" s="1471"/>
      <c r="S746" s="1472"/>
      <c r="T746" s="1470"/>
      <c r="U746" s="1471"/>
      <c r="V746" s="1471"/>
      <c r="W746" s="1472"/>
      <c r="X746" s="1360">
        <f t="shared" si="42"/>
        <v>0</v>
      </c>
      <c r="Y746" s="1361"/>
      <c r="Z746" s="1361"/>
      <c r="AA746" s="1361"/>
      <c r="AB746" s="1362"/>
      <c r="AC746" s="1617"/>
      <c r="AD746" s="1618"/>
      <c r="AE746" s="1618"/>
      <c r="AF746" s="1618"/>
      <c r="AG746" s="1619"/>
      <c r="AH746" s="1363" t="str">
        <f t="shared" si="36"/>
        <v/>
      </c>
      <c r="AI746" s="1364"/>
      <c r="AJ746" s="1365"/>
      <c r="AK746" s="1357" t="s">
        <v>591</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3" customHeight="1">
      <c r="B747" s="1357"/>
      <c r="C747" s="1358"/>
      <c r="D747" s="1358"/>
      <c r="E747" s="1358"/>
      <c r="F747" s="1359"/>
      <c r="G747" s="1366"/>
      <c r="H747" s="1367"/>
      <c r="I747" s="1367"/>
      <c r="J747" s="1368"/>
      <c r="K747" s="1608"/>
      <c r="L747" s="1609"/>
      <c r="M747" s="1609"/>
      <c r="N747" s="1610"/>
      <c r="O747" s="1470"/>
      <c r="P747" s="1471"/>
      <c r="Q747" s="1471"/>
      <c r="R747" s="1471"/>
      <c r="S747" s="1472"/>
      <c r="T747" s="1470"/>
      <c r="U747" s="1471"/>
      <c r="V747" s="1471"/>
      <c r="W747" s="1472"/>
      <c r="X747" s="1360">
        <f t="shared" si="42"/>
        <v>0</v>
      </c>
      <c r="Y747" s="1361"/>
      <c r="Z747" s="1361"/>
      <c r="AA747" s="1361"/>
      <c r="AB747" s="1362"/>
      <c r="AC747" s="1617"/>
      <c r="AD747" s="1618"/>
      <c r="AE747" s="1618"/>
      <c r="AF747" s="1618"/>
      <c r="AG747" s="1619"/>
      <c r="AH747" s="1363" t="str">
        <f t="shared" si="36"/>
        <v/>
      </c>
      <c r="AI747" s="1364"/>
      <c r="AJ747" s="1365"/>
      <c r="AK747" s="1357" t="s">
        <v>591</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3" customHeight="1">
      <c r="A748"/>
      <c r="B748" s="1357"/>
      <c r="C748" s="1358"/>
      <c r="D748" s="1358"/>
      <c r="E748" s="1358"/>
      <c r="F748" s="1359"/>
      <c r="G748" s="1366"/>
      <c r="H748" s="1367"/>
      <c r="I748" s="1367"/>
      <c r="J748" s="1368"/>
      <c r="K748" s="1608"/>
      <c r="L748" s="1609"/>
      <c r="M748" s="1609"/>
      <c r="N748" s="1610"/>
      <c r="O748" s="1470"/>
      <c r="P748" s="1471"/>
      <c r="Q748" s="1471"/>
      <c r="R748" s="1471"/>
      <c r="S748" s="1472"/>
      <c r="T748" s="1470"/>
      <c r="U748" s="1471"/>
      <c r="V748" s="1471"/>
      <c r="W748" s="1472"/>
      <c r="X748" s="1360">
        <f t="shared" si="42"/>
        <v>0</v>
      </c>
      <c r="Y748" s="1361"/>
      <c r="Z748" s="1361"/>
      <c r="AA748" s="1361"/>
      <c r="AB748" s="1362"/>
      <c r="AC748" s="1617"/>
      <c r="AD748" s="1618"/>
      <c r="AE748" s="1618"/>
      <c r="AF748" s="1618"/>
      <c r="AG748" s="1619"/>
      <c r="AH748" s="1363" t="str">
        <f t="shared" si="36"/>
        <v/>
      </c>
      <c r="AI748" s="1364"/>
      <c r="AJ748" s="1365"/>
      <c r="AK748" s="1357" t="s">
        <v>591</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3" customHeight="1">
      <c r="A749"/>
      <c r="B749" s="1357"/>
      <c r="C749" s="1358"/>
      <c r="D749" s="1358"/>
      <c r="E749" s="1358"/>
      <c r="F749" s="1359"/>
      <c r="G749" s="1366"/>
      <c r="H749" s="1367"/>
      <c r="I749" s="1367"/>
      <c r="J749" s="1368"/>
      <c r="K749" s="1608"/>
      <c r="L749" s="1609"/>
      <c r="M749" s="1609"/>
      <c r="N749" s="1610"/>
      <c r="O749" s="1470"/>
      <c r="P749" s="1471"/>
      <c r="Q749" s="1471"/>
      <c r="R749" s="1471"/>
      <c r="S749" s="1472"/>
      <c r="T749" s="1470"/>
      <c r="U749" s="1471"/>
      <c r="V749" s="1471"/>
      <c r="W749" s="1472"/>
      <c r="X749" s="1360">
        <f t="shared" si="42"/>
        <v>0</v>
      </c>
      <c r="Y749" s="1361"/>
      <c r="Z749" s="1361"/>
      <c r="AA749" s="1361"/>
      <c r="AB749" s="1362"/>
      <c r="AC749" s="1617"/>
      <c r="AD749" s="1618"/>
      <c r="AE749" s="1618"/>
      <c r="AF749" s="1618"/>
      <c r="AG749" s="1619"/>
      <c r="AH749" s="1363" t="str">
        <f t="shared" si="36"/>
        <v/>
      </c>
      <c r="AI749" s="1364"/>
      <c r="AJ749" s="1365"/>
      <c r="AK749" s="1357" t="s">
        <v>591</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3" customHeight="1">
      <c r="A750"/>
      <c r="B750" s="1357"/>
      <c r="C750" s="1358"/>
      <c r="D750" s="1358"/>
      <c r="E750" s="1358"/>
      <c r="F750" s="1359"/>
      <c r="G750" s="1366"/>
      <c r="H750" s="1367"/>
      <c r="I750" s="1367"/>
      <c r="J750" s="1368"/>
      <c r="K750" s="1608"/>
      <c r="L750" s="1609"/>
      <c r="M750" s="1609"/>
      <c r="N750" s="1610"/>
      <c r="O750" s="1470"/>
      <c r="P750" s="1471"/>
      <c r="Q750" s="1471"/>
      <c r="R750" s="1471"/>
      <c r="S750" s="1472"/>
      <c r="T750" s="1470"/>
      <c r="U750" s="1471"/>
      <c r="V750" s="1471"/>
      <c r="W750" s="1472"/>
      <c r="X750" s="1360">
        <f t="shared" si="42"/>
        <v>0</v>
      </c>
      <c r="Y750" s="1361"/>
      <c r="Z750" s="1361"/>
      <c r="AA750" s="1361"/>
      <c r="AB750" s="1362"/>
      <c r="AC750" s="1617"/>
      <c r="AD750" s="1618"/>
      <c r="AE750" s="1618"/>
      <c r="AF750" s="1618"/>
      <c r="AG750" s="1619"/>
      <c r="AH750" s="1363" t="str">
        <f t="shared" si="36"/>
        <v/>
      </c>
      <c r="AI750" s="1364"/>
      <c r="AJ750" s="1365"/>
      <c r="AK750" s="1357" t="s">
        <v>591</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3" customHeight="1">
      <c r="A751"/>
      <c r="B751" s="1357"/>
      <c r="C751" s="1358"/>
      <c r="D751" s="1358"/>
      <c r="E751" s="1358"/>
      <c r="F751" s="1359"/>
      <c r="G751" s="1366"/>
      <c r="H751" s="1367"/>
      <c r="I751" s="1367"/>
      <c r="J751" s="1368"/>
      <c r="K751" s="1608"/>
      <c r="L751" s="1609"/>
      <c r="M751" s="1609"/>
      <c r="N751" s="1610"/>
      <c r="O751" s="1470"/>
      <c r="P751" s="1471"/>
      <c r="Q751" s="1471"/>
      <c r="R751" s="1471"/>
      <c r="S751" s="1472"/>
      <c r="T751" s="1470"/>
      <c r="U751" s="1471"/>
      <c r="V751" s="1471"/>
      <c r="W751" s="1472"/>
      <c r="X751" s="1360">
        <f t="shared" si="42"/>
        <v>0</v>
      </c>
      <c r="Y751" s="1361"/>
      <c r="Z751" s="1361"/>
      <c r="AA751" s="1361"/>
      <c r="AB751" s="1362"/>
      <c r="AC751" s="1617"/>
      <c r="AD751" s="1618"/>
      <c r="AE751" s="1618"/>
      <c r="AF751" s="1618"/>
      <c r="AG751" s="1619"/>
      <c r="AH751" s="1363" t="str">
        <f t="shared" si="36"/>
        <v/>
      </c>
      <c r="AI751" s="1364"/>
      <c r="AJ751" s="1365"/>
      <c r="AK751" s="1357" t="s">
        <v>591</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3" customHeight="1">
      <c r="A752"/>
      <c r="B752" s="1357"/>
      <c r="C752" s="1358"/>
      <c r="D752" s="1358"/>
      <c r="E752" s="1358"/>
      <c r="F752" s="1359"/>
      <c r="G752" s="1366"/>
      <c r="H752" s="1367"/>
      <c r="I752" s="1367"/>
      <c r="J752" s="1368"/>
      <c r="K752" s="1608"/>
      <c r="L752" s="1609"/>
      <c r="M752" s="1609"/>
      <c r="N752" s="1610"/>
      <c r="O752" s="1470"/>
      <c r="P752" s="1471"/>
      <c r="Q752" s="1471"/>
      <c r="R752" s="1471"/>
      <c r="S752" s="1472"/>
      <c r="T752" s="1470"/>
      <c r="U752" s="1471"/>
      <c r="V752" s="1471"/>
      <c r="W752" s="1472"/>
      <c r="X752" s="1360">
        <f>O752+T752</f>
        <v>0</v>
      </c>
      <c r="Y752" s="1361"/>
      <c r="Z752" s="1361"/>
      <c r="AA752" s="1361"/>
      <c r="AB752" s="1362"/>
      <c r="AC752" s="1617"/>
      <c r="AD752" s="1618"/>
      <c r="AE752" s="1618"/>
      <c r="AF752" s="1618"/>
      <c r="AG752" s="1619"/>
      <c r="AH752" s="1363" t="str">
        <f t="shared" si="36"/>
        <v/>
      </c>
      <c r="AI752" s="1364"/>
      <c r="AJ752" s="1365"/>
      <c r="AK752" s="1357" t="s">
        <v>591</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3" customHeight="1">
      <c r="A753"/>
      <c r="B753" s="1410" t="s">
        <v>125</v>
      </c>
      <c r="C753" s="1411"/>
      <c r="D753" s="1411"/>
      <c r="E753" s="1411"/>
      <c r="F753" s="1413"/>
      <c r="G753" s="1722">
        <f>SUM(G718:G752)</f>
        <v>97</v>
      </c>
      <c r="H753" s="1723"/>
      <c r="I753" s="1723"/>
      <c r="J753" s="1724"/>
      <c r="K753" s="902" t="s">
        <v>124</v>
      </c>
      <c r="L753" s="5"/>
      <c r="M753" s="5"/>
      <c r="N753" s="46"/>
      <c r="O753" s="1360">
        <f>SUMPRODUCT(G718:G752,O718:O752)</f>
        <v>196189.82199999999</v>
      </c>
      <c r="P753" s="1361"/>
      <c r="Q753" s="1361"/>
      <c r="R753" s="1361"/>
      <c r="S753" s="1362"/>
      <c r="T753"/>
      <c r="U753"/>
      <c r="V753"/>
      <c r="W753"/>
      <c r="X753" s="904" t="s">
        <v>900</v>
      </c>
      <c r="Y753" s="903"/>
      <c r="Z753" s="903"/>
      <c r="AA753" s="903"/>
      <c r="AB753" s="905"/>
      <c r="AC753" s="1621">
        <f>BH753</f>
        <v>0.5742268041237113</v>
      </c>
      <c r="AD753" s="1622"/>
      <c r="AE753" s="1622"/>
      <c r="AF753" s="1622"/>
      <c r="AG753" s="1623"/>
      <c r="AH753" s="1621">
        <f>IFERROR(BU753,"")</f>
        <v>0.57424601241717332</v>
      </c>
      <c r="AI753" s="1622"/>
      <c r="AJ753" s="1623"/>
      <c r="AK753"/>
      <c r="AL753"/>
      <c r="AM753"/>
      <c r="AN753"/>
      <c r="AO753"/>
      <c r="AP753" s="205"/>
      <c r="AQ753" s="205"/>
      <c r="AR753" s="205"/>
      <c r="AS753" s="205"/>
      <c r="AT753"/>
      <c r="AU753"/>
      <c r="AV753"/>
      <c r="AW753"/>
      <c r="AX753"/>
      <c r="AY753"/>
      <c r="AZ753" s="34"/>
      <c r="BA753" s="34"/>
      <c r="BB753" s="34"/>
      <c r="BC753" s="34"/>
      <c r="BE753" s="290" t="s">
        <v>899</v>
      </c>
      <c r="BF753" s="299">
        <f>SUM(BF718:BF752)</f>
        <v>97</v>
      </c>
      <c r="BG753" s="300">
        <f>SUM(BG718:BG752)</f>
        <v>0.99999999999999978</v>
      </c>
      <c r="BH753" s="300">
        <f>SUM(BH718:BH752)</f>
        <v>0.5742268041237113</v>
      </c>
      <c r="BI753"/>
      <c r="BJ753"/>
      <c r="BK753"/>
      <c r="BL753"/>
      <c r="BO753"/>
      <c r="BP753"/>
      <c r="BQ753"/>
      <c r="BR753"/>
      <c r="BS753" s="859">
        <f>SUM(BS718:BS752)</f>
        <v>97</v>
      </c>
      <c r="BT753" s="300">
        <f>SUM(BT718:BT752)</f>
        <v>0.99999999999999978</v>
      </c>
      <c r="BU753" s="300">
        <f>SUM(BU718:BU752)</f>
        <v>0.57424601241717332</v>
      </c>
      <c r="CI753" s="1353">
        <f>SUM(CI718:CJ752)</f>
        <v>11</v>
      </c>
      <c r="CJ753" s="1355"/>
      <c r="CM753" s="1353">
        <f>SUM(CM718:CN752)</f>
        <v>15</v>
      </c>
      <c r="CN753" s="1355"/>
      <c r="CP753" s="1353">
        <f>SUM(CP718:CT752)</f>
        <v>0</v>
      </c>
      <c r="CQ753" s="1354"/>
      <c r="CR753" s="1354"/>
      <c r="CS753" s="1354"/>
      <c r="CT753" s="1355"/>
      <c r="CU753" s="1369">
        <f>SUM(CU718:CY752)</f>
        <v>35</v>
      </c>
      <c r="CV753" s="1369"/>
      <c r="CW753" s="1369"/>
      <c r="CX753" s="1369"/>
      <c r="CY753" s="1369"/>
      <c r="CZ753" s="1369">
        <f>SUM(CZ718:DD752)</f>
        <v>28</v>
      </c>
      <c r="DA753" s="1369"/>
      <c r="DB753" s="1369"/>
      <c r="DC753" s="1369"/>
      <c r="DD753" s="1369"/>
      <c r="DE753" s="1369">
        <f>SUM(DE718:DI752)</f>
        <v>34</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7</v>
      </c>
      <c r="EA753" s="1369"/>
      <c r="EB753" s="1369"/>
      <c r="EC753" s="1369"/>
      <c r="ED753" s="1369"/>
      <c r="EE753" s="1369">
        <f>SUM(EE718:EI752)</f>
        <v>4</v>
      </c>
      <c r="EF753" s="1369"/>
      <c r="EG753" s="1369"/>
      <c r="EH753" s="1369"/>
      <c r="EI753" s="1369"/>
      <c r="EJ753" s="1369">
        <f>SUM(EJ718:EN752)</f>
        <v>4</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6167.192</v>
      </c>
      <c r="FF753" s="1369"/>
      <c r="FG753" s="1369"/>
      <c r="FH753" s="1369"/>
      <c r="FI753" s="1369"/>
      <c r="FJ753" s="1369">
        <f>SUM(FJ718:FN752)</f>
        <v>7359.4319999999998</v>
      </c>
      <c r="FK753" s="1369"/>
      <c r="FL753" s="1369"/>
      <c r="FM753" s="1369"/>
      <c r="FN753" s="1369"/>
      <c r="FO753" s="1369">
        <f>SUM(FO718:FS752)</f>
        <v>8446.4480000000003</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3" customHeight="1">
      <c r="A754"/>
      <c r="B754" s="1726" t="s">
        <v>1892</v>
      </c>
      <c r="C754" s="1726"/>
      <c r="D754" s="1726"/>
      <c r="E754" s="1726"/>
      <c r="F754" s="1726"/>
      <c r="G754" s="1726"/>
      <c r="H754" s="1726"/>
      <c r="I754" s="1726"/>
      <c r="J754" s="1726"/>
      <c r="K754" s="1726"/>
      <c r="L754" s="1726"/>
      <c r="M754" s="1726"/>
      <c r="N754" s="1726"/>
      <c r="O754" s="1726"/>
      <c r="P754" s="1726"/>
      <c r="Q754" s="1726"/>
      <c r="R754" s="1726"/>
      <c r="S754" s="1726"/>
      <c r="T754" s="1726"/>
      <c r="U754" s="1726"/>
      <c r="V754" s="1726"/>
      <c r="W754" s="1726"/>
      <c r="X754" s="1726"/>
      <c r="Y754" s="1726"/>
      <c r="Z754" s="1726"/>
      <c r="AA754" s="1726"/>
      <c r="AB754" s="1726"/>
      <c r="AC754" s="1726"/>
      <c r="AD754" s="1726"/>
      <c r="AE754" s="1726"/>
      <c r="AF754" s="1726"/>
      <c r="AG754" s="1726"/>
      <c r="AH754" s="1726"/>
      <c r="AI754"/>
      <c r="AJ754"/>
      <c r="AK754"/>
      <c r="AT754"/>
      <c r="AU754"/>
      <c r="AV754"/>
      <c r="AW754"/>
      <c r="AX754"/>
      <c r="AY754"/>
      <c r="CD754"/>
      <c r="DN754" s="56" t="s">
        <v>1859</v>
      </c>
      <c r="DO754" s="1353">
        <f>CP753+CU753+CZ753+DE753+DJ753+DO753</f>
        <v>97</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6"/>
      <c r="C755" s="1726"/>
      <c r="D755" s="1726"/>
      <c r="E755" s="1726"/>
      <c r="F755" s="1726"/>
      <c r="G755" s="1726"/>
      <c r="H755" s="1726"/>
      <c r="I755" s="1726"/>
      <c r="J755" s="1726"/>
      <c r="K755" s="1726"/>
      <c r="L755" s="1726"/>
      <c r="M755" s="1726"/>
      <c r="N755" s="1726"/>
      <c r="O755" s="1726"/>
      <c r="P755" s="1726"/>
      <c r="Q755" s="1726"/>
      <c r="R755" s="1726"/>
      <c r="S755" s="1726"/>
      <c r="T755" s="1726"/>
      <c r="U755" s="1726"/>
      <c r="V755" s="1726"/>
      <c r="W755" s="1726"/>
      <c r="X755" s="1726"/>
      <c r="Y755" s="1726"/>
      <c r="Z755" s="1726"/>
      <c r="AA755" s="1726"/>
      <c r="AB755" s="1726"/>
      <c r="AC755" s="1726"/>
      <c r="AD755" s="1726"/>
      <c r="AE755" s="1726"/>
      <c r="AF755" s="1726"/>
      <c r="AG755" s="1726"/>
      <c r="AH755" s="172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35</v>
      </c>
      <c r="CZ755" s="3"/>
      <c r="DA755" s="3"/>
      <c r="DB755" s="3"/>
      <c r="DC755" s="3"/>
      <c r="DD755" s="861">
        <f>CZ753*2</f>
        <v>56</v>
      </c>
      <c r="DE755" s="3"/>
      <c r="DF755" s="3"/>
      <c r="DG755" s="3"/>
      <c r="DH755" s="3"/>
      <c r="DI755" s="861">
        <f>DE753*3</f>
        <v>102</v>
      </c>
      <c r="DJ755" s="3"/>
      <c r="DK755" s="3"/>
      <c r="DL755" s="3"/>
      <c r="DM755" s="3"/>
      <c r="DN755" s="861">
        <f>DJ753*4</f>
        <v>0</v>
      </c>
      <c r="DO755" s="3"/>
      <c r="DP755" s="3"/>
      <c r="DQ755" s="3"/>
      <c r="DR755" s="3"/>
      <c r="DS755" s="861">
        <f>DO753*5</f>
        <v>0</v>
      </c>
      <c r="DU755" s="861">
        <f>CT755+CY755+DD755+DI755+DN755+DS755</f>
        <v>193</v>
      </c>
      <c r="DV755" s="57" t="s">
        <v>1861</v>
      </c>
      <c r="DW755" s="3"/>
      <c r="DX755" s="3"/>
      <c r="DY755" s="3"/>
      <c r="DZ755" s="3"/>
      <c r="EA755" s="3"/>
      <c r="EB755" s="3"/>
      <c r="EC755" s="3"/>
      <c r="ED755" s="3"/>
      <c r="EE755" s="3"/>
      <c r="EF755" s="3"/>
      <c r="EG755" s="3"/>
      <c r="EH755" s="3"/>
    </row>
    <row r="756" spans="1:185" ht="13" customHeight="1">
      <c r="A756" s="3"/>
      <c r="B756" s="3"/>
      <c r="C756" s="118" t="s">
        <v>1890</v>
      </c>
      <c r="D756" s="1032"/>
      <c r="E756" s="1032"/>
      <c r="F756" s="1032"/>
      <c r="G756" s="1033"/>
      <c r="H756" s="1033"/>
      <c r="I756" s="1033"/>
      <c r="J756" s="1033"/>
      <c r="K756" s="1032"/>
      <c r="L756" s="1032"/>
      <c r="M756" s="1032"/>
      <c r="N756" s="1032"/>
      <c r="O756" s="1369">
        <f>DU755</f>
        <v>193</v>
      </c>
      <c r="P756" s="1369"/>
      <c r="Q756" s="1369"/>
      <c r="R756" s="1369"/>
      <c r="S756" s="969"/>
      <c r="T756" s="969"/>
      <c r="U756" s="118" t="s">
        <v>1891</v>
      </c>
      <c r="V756" s="1032"/>
      <c r="W756" s="1032"/>
      <c r="X756" s="1032"/>
      <c r="Y756" s="1033"/>
      <c r="Z756" s="1033"/>
      <c r="AA756" s="1033"/>
      <c r="AB756" s="1033"/>
      <c r="AC756" s="1032"/>
      <c r="AD756" s="1032"/>
      <c r="AE756" s="1032"/>
      <c r="AF756" s="1032"/>
      <c r="AG756" s="1718">
        <v>15</v>
      </c>
      <c r="AH756" s="1718"/>
      <c r="AI756" s="1718"/>
      <c r="AJ756" s="171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5" t="s">
        <v>591</v>
      </c>
      <c r="AE759" s="1725"/>
      <c r="AF759" s="17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8" t="s">
        <v>2088</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8" t="s">
        <v>2089</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6" t="s">
        <v>389</v>
      </c>
      <c r="K769" s="1497"/>
      <c r="L769" s="1497"/>
      <c r="M769" s="1497"/>
      <c r="N769" s="1498"/>
      <c r="O769" s="1606" t="s">
        <v>285</v>
      </c>
      <c r="P769" s="1606"/>
      <c r="Q769" s="1606"/>
      <c r="R769" s="1606"/>
      <c r="S769" s="1606"/>
      <c r="T769" s="1513" t="s">
        <v>1678</v>
      </c>
      <c r="U769" s="1514"/>
      <c r="V769" s="1514"/>
      <c r="W769" s="1515"/>
      <c r="X769" s="1496" t="s">
        <v>447</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9"/>
      <c r="K770" s="1500"/>
      <c r="L770" s="1500"/>
      <c r="M770" s="1500"/>
      <c r="N770" s="1501"/>
      <c r="O770" s="1606"/>
      <c r="P770" s="1606"/>
      <c r="Q770" s="1606"/>
      <c r="R770" s="1606"/>
      <c r="S770" s="1606"/>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9"/>
      <c r="K771" s="1500"/>
      <c r="L771" s="1500"/>
      <c r="M771" s="1500"/>
      <c r="N771" s="1501"/>
      <c r="O771" s="1606"/>
      <c r="P771" s="1606"/>
      <c r="Q771" s="1606"/>
      <c r="R771" s="1606"/>
      <c r="S771" s="1606"/>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2"/>
      <c r="K772" s="1503"/>
      <c r="L772" s="1503"/>
      <c r="M772" s="1503"/>
      <c r="N772" s="1504"/>
      <c r="O772" s="1606"/>
      <c r="P772" s="1606"/>
      <c r="Q772" s="1606"/>
      <c r="R772" s="1606"/>
      <c r="S772" s="1606"/>
      <c r="T772" s="1614"/>
      <c r="U772" s="1615"/>
      <c r="V772" s="1615"/>
      <c r="W772" s="1616"/>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7" t="s">
        <v>164</v>
      </c>
      <c r="K773" s="1358"/>
      <c r="L773" s="1358"/>
      <c r="M773" s="1358"/>
      <c r="N773" s="1359"/>
      <c r="O773" s="1466">
        <v>1</v>
      </c>
      <c r="P773" s="1466"/>
      <c r="Q773" s="1466"/>
      <c r="R773" s="1466"/>
      <c r="S773" s="1466"/>
      <c r="T773" s="1608">
        <v>989</v>
      </c>
      <c r="U773" s="1609"/>
      <c r="V773" s="1609"/>
      <c r="W773" s="1610"/>
      <c r="X773" s="1470"/>
      <c r="Y773" s="1471"/>
      <c r="Z773" s="1471"/>
      <c r="AA773" s="1471"/>
      <c r="AB773" s="1472"/>
      <c r="AC773" s="1360">
        <f>X773*O773</f>
        <v>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0</v>
      </c>
      <c r="DA773" s="1356"/>
      <c r="DB773" s="1356"/>
      <c r="DC773" s="1356"/>
      <c r="DD773" s="1356"/>
      <c r="DE773" s="1356">
        <f>IF(J773="3 Bedrooms",O773,0)</f>
        <v>1</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3" customHeight="1">
      <c r="J774" s="1357"/>
      <c r="K774" s="1358"/>
      <c r="L774" s="1358"/>
      <c r="M774" s="1358"/>
      <c r="N774" s="1359"/>
      <c r="O774" s="1466"/>
      <c r="P774" s="1466"/>
      <c r="Q774" s="1466"/>
      <c r="R774" s="1466"/>
      <c r="S774" s="1466"/>
      <c r="T774" s="1608"/>
      <c r="U774" s="1609"/>
      <c r="V774" s="1609"/>
      <c r="W774" s="1610"/>
      <c r="X774" s="1470"/>
      <c r="Y774" s="1471"/>
      <c r="Z774" s="1471"/>
      <c r="AA774" s="1471"/>
      <c r="AB774" s="1472"/>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3" customHeight="1">
      <c r="J775" s="1357"/>
      <c r="K775" s="1358"/>
      <c r="L775" s="1358"/>
      <c r="M775" s="1358"/>
      <c r="N775" s="1359"/>
      <c r="O775" s="1466"/>
      <c r="P775" s="1466"/>
      <c r="Q775" s="1466"/>
      <c r="R775" s="1466"/>
      <c r="S775" s="1466"/>
      <c r="T775" s="1608"/>
      <c r="U775" s="1609"/>
      <c r="V775" s="1609"/>
      <c r="W775" s="1610"/>
      <c r="X775" s="1470"/>
      <c r="Y775" s="1471"/>
      <c r="Z775" s="1471"/>
      <c r="AA775" s="1471"/>
      <c r="AB775" s="1472"/>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3" customHeight="1">
      <c r="J776" s="1357"/>
      <c r="K776" s="1358"/>
      <c r="L776" s="1358"/>
      <c r="M776" s="1358"/>
      <c r="N776" s="1359"/>
      <c r="O776" s="1466"/>
      <c r="P776" s="1466"/>
      <c r="Q776" s="1466"/>
      <c r="R776" s="1466"/>
      <c r="S776" s="1466"/>
      <c r="T776" s="1608"/>
      <c r="U776" s="1609"/>
      <c r="V776" s="1609"/>
      <c r="W776" s="1610"/>
      <c r="X776" s="1470"/>
      <c r="Y776" s="1471"/>
      <c r="Z776" s="1471"/>
      <c r="AA776" s="1471"/>
      <c r="AB776" s="1472"/>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3" customHeight="1">
      <c r="J777" s="1410" t="s">
        <v>125</v>
      </c>
      <c r="K777" s="1411"/>
      <c r="L777" s="1411"/>
      <c r="M777" s="1411"/>
      <c r="N777" s="1413"/>
      <c r="O777" s="1337">
        <f>SUM(O773:S776)</f>
        <v>1</v>
      </c>
      <c r="P777" s="1338"/>
      <c r="Q777" s="1338"/>
      <c r="R777" s="1338"/>
      <c r="S777" s="1339"/>
      <c r="X777" s="1410" t="s">
        <v>124</v>
      </c>
      <c r="Y777" s="1411"/>
      <c r="Z777" s="1411"/>
      <c r="AA777" s="1411"/>
      <c r="AB777" s="1413"/>
      <c r="AC777" s="1360">
        <f>SUM(AC773:AG776)</f>
        <v>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0</v>
      </c>
      <c r="DA777" s="1351"/>
      <c r="DB777" s="1351"/>
      <c r="DC777" s="1351"/>
      <c r="DD777" s="1352"/>
      <c r="DE777" s="1350">
        <f>SUM(DE773:DI776)</f>
        <v>1</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1858</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1860</v>
      </c>
    </row>
    <row r="779" spans="1:126" ht="13" customHeight="1">
      <c r="B779" s="56"/>
      <c r="C779" s="56"/>
      <c r="D779" s="56"/>
      <c r="E779" s="56"/>
      <c r="F779" s="56"/>
      <c r="G779" s="6"/>
      <c r="H779" s="6"/>
      <c r="I779" s="6"/>
      <c r="J779" s="1392" t="s">
        <v>669</v>
      </c>
      <c r="K779" s="1392"/>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6" t="s">
        <v>389</v>
      </c>
      <c r="K783" s="1497"/>
      <c r="L783" s="1497"/>
      <c r="M783" s="1497"/>
      <c r="N783" s="1498"/>
      <c r="O783" s="1606" t="s">
        <v>285</v>
      </c>
      <c r="P783" s="1606"/>
      <c r="Q783" s="1606"/>
      <c r="R783" s="1606"/>
      <c r="S783" s="1606"/>
      <c r="T783" s="1513" t="s">
        <v>1678</v>
      </c>
      <c r="U783" s="1514"/>
      <c r="V783" s="1514"/>
      <c r="W783" s="1515"/>
      <c r="X783" s="1496" t="s">
        <v>447</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9"/>
      <c r="K784" s="1500"/>
      <c r="L784" s="1500"/>
      <c r="M784" s="1500"/>
      <c r="N784" s="1501"/>
      <c r="O784" s="1606"/>
      <c r="P784" s="1606"/>
      <c r="Q784" s="1606"/>
      <c r="R784" s="1606"/>
      <c r="S784" s="1606"/>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9"/>
      <c r="K785" s="1500"/>
      <c r="L785" s="1500"/>
      <c r="M785" s="1500"/>
      <c r="N785" s="1501"/>
      <c r="O785" s="1606"/>
      <c r="P785" s="1606"/>
      <c r="Q785" s="1606"/>
      <c r="R785" s="1606"/>
      <c r="S785" s="1606"/>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2"/>
      <c r="K786" s="1503"/>
      <c r="L786" s="1503"/>
      <c r="M786" s="1503"/>
      <c r="N786" s="1504"/>
      <c r="O786" s="1606"/>
      <c r="P786" s="1606"/>
      <c r="Q786" s="1606"/>
      <c r="R786" s="1606"/>
      <c r="S786" s="1606"/>
      <c r="T786" s="1614"/>
      <c r="U786" s="1615"/>
      <c r="V786" s="1615"/>
      <c r="W786" s="1616"/>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 customHeight="1">
      <c r="J787" s="1357"/>
      <c r="K787" s="1358"/>
      <c r="L787" s="1358"/>
      <c r="M787" s="1358"/>
      <c r="N787" s="1359"/>
      <c r="O787" s="1466"/>
      <c r="P787" s="1466"/>
      <c r="Q787" s="1466"/>
      <c r="R787" s="1466"/>
      <c r="S787" s="1466"/>
      <c r="T787" s="1608"/>
      <c r="U787" s="1609"/>
      <c r="V787" s="1609"/>
      <c r="W787" s="1610"/>
      <c r="X787" s="1470"/>
      <c r="Y787" s="1471"/>
      <c r="Z787" s="1471"/>
      <c r="AA787" s="1471"/>
      <c r="AB787" s="1472"/>
      <c r="AC787" s="1360">
        <f t="shared" ref="AC787:AC796" si="43">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4">IF(J787="SRO/Studio",O787,0)</f>
        <v>0</v>
      </c>
      <c r="CQ787" s="1335"/>
      <c r="CR787" s="1335"/>
      <c r="CS787" s="1335"/>
      <c r="CT787" s="1336"/>
      <c r="CU787" s="1334">
        <f t="shared" ref="CU787:CU796" si="45">IF(J787="1 Bedroom",O787,0)</f>
        <v>0</v>
      </c>
      <c r="CV787" s="1335"/>
      <c r="CW787" s="1335"/>
      <c r="CX787" s="1335"/>
      <c r="CY787" s="1336"/>
      <c r="CZ787" s="1334">
        <f t="shared" ref="CZ787:CZ796" si="46">IF(J787="2 Bedrooms",O787,0)</f>
        <v>0</v>
      </c>
      <c r="DA787" s="1335"/>
      <c r="DB787" s="1335"/>
      <c r="DC787" s="1335"/>
      <c r="DD787" s="1336"/>
      <c r="DE787" s="1334">
        <f t="shared" ref="DE787:DE796" si="47">IF(J787="3 Bedrooms",O787,0)</f>
        <v>0</v>
      </c>
      <c r="DF787" s="1335"/>
      <c r="DG787" s="1335"/>
      <c r="DH787" s="1335"/>
      <c r="DI787" s="1336"/>
      <c r="DJ787" s="1334">
        <f t="shared" ref="DJ787:DJ796" si="48">IF(J787="4 Bedrooms",O787,0)</f>
        <v>0</v>
      </c>
      <c r="DK787" s="1335"/>
      <c r="DL787" s="1335"/>
      <c r="DM787" s="1335"/>
      <c r="DN787" s="1336"/>
      <c r="DO787" s="1334">
        <f t="shared" ref="DO787:DO796" si="49">IF(J787="5 Bedrooms",O787,0)</f>
        <v>0</v>
      </c>
      <c r="DP787" s="1335"/>
      <c r="DQ787" s="1335"/>
      <c r="DR787" s="1335"/>
      <c r="DS787" s="1336"/>
      <c r="DT787" s="6"/>
      <c r="DU787" s="1334">
        <f t="shared" ref="DU787:DU796" si="50">IF(AND(CP787&gt;=1,AH787&gt;=0.1,AH787&lt;=1),O787,0)</f>
        <v>0</v>
      </c>
      <c r="DV787" s="1335"/>
      <c r="DW787" s="1335"/>
      <c r="DX787" s="1335"/>
      <c r="DY787" s="1336"/>
      <c r="DZ787" s="1334">
        <f t="shared" ref="DZ787:DZ796" si="51">IF(AND(CU787&gt;=1,AH787&gt;=0.1,AH787&lt;=1),O787,0)</f>
        <v>0</v>
      </c>
      <c r="EA787" s="1335"/>
      <c r="EB787" s="1335"/>
      <c r="EC787" s="1335"/>
      <c r="ED787" s="1336"/>
      <c r="EE787" s="1334">
        <f t="shared" ref="EE787:EE796" si="52">IF(AND(CZ787&gt;=1,AH787&gt;=0.1,AH787&lt;=1),O787,0)</f>
        <v>0</v>
      </c>
      <c r="EF787" s="1335"/>
      <c r="EG787" s="1335"/>
      <c r="EH787" s="1335"/>
      <c r="EI787" s="1336"/>
      <c r="EJ787" s="1334">
        <f t="shared" ref="EJ787:EJ796" si="53">IF(AND(DE787&gt;=1,AH787&gt;=0.1,AH787&lt;=1),O787,0)</f>
        <v>0</v>
      </c>
      <c r="EK787" s="1335"/>
      <c r="EL787" s="1335"/>
      <c r="EM787" s="1335"/>
      <c r="EN787" s="1336"/>
      <c r="EO787" s="1334">
        <f t="shared" ref="EO787:EO796" si="54">IF(AND(DJ787&gt;=1,AH787&gt;=0.1,AH787&lt;=1),O787,0)</f>
        <v>0</v>
      </c>
      <c r="EP787" s="1335"/>
      <c r="EQ787" s="1335"/>
      <c r="ER787" s="1335"/>
      <c r="ES787" s="1336"/>
      <c r="ET787" s="1334">
        <f t="shared" ref="ET787:ET796" si="55">IF(AND(DO787&gt;=1,AH787&gt;=0.1,AH787&lt;=1),O787,0)</f>
        <v>0</v>
      </c>
      <c r="EU787" s="1335"/>
      <c r="EV787" s="1335"/>
      <c r="EW787" s="1335"/>
      <c r="EX787" s="1336"/>
    </row>
    <row r="788" spans="1:154" s="14" customFormat="1" ht="13" customHeight="1">
      <c r="A788"/>
      <c r="B788"/>
      <c r="C788"/>
      <c r="D788"/>
      <c r="E788"/>
      <c r="F788"/>
      <c r="G788"/>
      <c r="H788"/>
      <c r="I788"/>
      <c r="J788" s="1357"/>
      <c r="K788" s="1358"/>
      <c r="L788" s="1358"/>
      <c r="M788" s="1358"/>
      <c r="N788" s="1359"/>
      <c r="O788" s="1466"/>
      <c r="P788" s="1466"/>
      <c r="Q788" s="1466"/>
      <c r="R788" s="1466"/>
      <c r="S788" s="1466"/>
      <c r="T788" s="1608"/>
      <c r="U788" s="1609"/>
      <c r="V788" s="1609"/>
      <c r="W788" s="1610"/>
      <c r="X788" s="1470"/>
      <c r="Y788" s="1471"/>
      <c r="Z788" s="1471"/>
      <c r="AA788" s="1471"/>
      <c r="AB788" s="1472"/>
      <c r="AC788" s="1360">
        <f t="shared" si="43"/>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4"/>
        <v>0</v>
      </c>
      <c r="CQ788" s="1335"/>
      <c r="CR788" s="1335"/>
      <c r="CS788" s="1335"/>
      <c r="CT788" s="1336"/>
      <c r="CU788" s="1334">
        <f t="shared" si="45"/>
        <v>0</v>
      </c>
      <c r="CV788" s="1335"/>
      <c r="CW788" s="1335"/>
      <c r="CX788" s="1335"/>
      <c r="CY788" s="1336"/>
      <c r="CZ788" s="1334">
        <f t="shared" si="46"/>
        <v>0</v>
      </c>
      <c r="DA788" s="1335"/>
      <c r="DB788" s="1335"/>
      <c r="DC788" s="1335"/>
      <c r="DD788" s="1336"/>
      <c r="DE788" s="1334">
        <f t="shared" si="47"/>
        <v>0</v>
      </c>
      <c r="DF788" s="1335"/>
      <c r="DG788" s="1335"/>
      <c r="DH788" s="1335"/>
      <c r="DI788" s="1336"/>
      <c r="DJ788" s="1334">
        <f t="shared" si="48"/>
        <v>0</v>
      </c>
      <c r="DK788" s="1335"/>
      <c r="DL788" s="1335"/>
      <c r="DM788" s="1335"/>
      <c r="DN788" s="1336"/>
      <c r="DO788" s="1334">
        <f t="shared" si="49"/>
        <v>0</v>
      </c>
      <c r="DP788" s="1335"/>
      <c r="DQ788" s="1335"/>
      <c r="DR788" s="1335"/>
      <c r="DS788" s="1336"/>
      <c r="DT788" s="6"/>
      <c r="DU788" s="1334">
        <f t="shared" si="50"/>
        <v>0</v>
      </c>
      <c r="DV788" s="1335"/>
      <c r="DW788" s="1335"/>
      <c r="DX788" s="1335"/>
      <c r="DY788" s="1336"/>
      <c r="DZ788" s="1334">
        <f t="shared" si="51"/>
        <v>0</v>
      </c>
      <c r="EA788" s="1335"/>
      <c r="EB788" s="1335"/>
      <c r="EC788" s="1335"/>
      <c r="ED788" s="1336"/>
      <c r="EE788" s="1334">
        <f t="shared" si="52"/>
        <v>0</v>
      </c>
      <c r="EF788" s="1335"/>
      <c r="EG788" s="1335"/>
      <c r="EH788" s="1335"/>
      <c r="EI788" s="1336"/>
      <c r="EJ788" s="1334">
        <f t="shared" si="53"/>
        <v>0</v>
      </c>
      <c r="EK788" s="1335"/>
      <c r="EL788" s="1335"/>
      <c r="EM788" s="1335"/>
      <c r="EN788" s="1336"/>
      <c r="EO788" s="1334">
        <f t="shared" si="54"/>
        <v>0</v>
      </c>
      <c r="EP788" s="1335"/>
      <c r="EQ788" s="1335"/>
      <c r="ER788" s="1335"/>
      <c r="ES788" s="1336"/>
      <c r="ET788" s="1334">
        <f t="shared" si="55"/>
        <v>0</v>
      </c>
      <c r="EU788" s="1335"/>
      <c r="EV788" s="1335"/>
      <c r="EW788" s="1335"/>
      <c r="EX788" s="1336"/>
    </row>
    <row r="789" spans="1:154" s="14" customFormat="1" ht="13" customHeight="1">
      <c r="A789"/>
      <c r="B789"/>
      <c r="C789"/>
      <c r="D789"/>
      <c r="E789"/>
      <c r="F789"/>
      <c r="G789"/>
      <c r="H789"/>
      <c r="I789"/>
      <c r="J789" s="1357"/>
      <c r="K789" s="1358"/>
      <c r="L789" s="1358"/>
      <c r="M789" s="1358"/>
      <c r="N789" s="1359"/>
      <c r="O789" s="1466"/>
      <c r="P789" s="1466"/>
      <c r="Q789" s="1466"/>
      <c r="R789" s="1466"/>
      <c r="S789" s="1466"/>
      <c r="T789" s="1608"/>
      <c r="U789" s="1609"/>
      <c r="V789" s="1609"/>
      <c r="W789" s="1610"/>
      <c r="X789" s="1470"/>
      <c r="Y789" s="1471"/>
      <c r="Z789" s="1471"/>
      <c r="AA789" s="1471"/>
      <c r="AB789" s="1472"/>
      <c r="AC789" s="1360">
        <f t="shared" si="43"/>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4"/>
        <v>0</v>
      </c>
      <c r="CQ789" s="1335"/>
      <c r="CR789" s="1335"/>
      <c r="CS789" s="1335"/>
      <c r="CT789" s="1336"/>
      <c r="CU789" s="1334">
        <f t="shared" si="45"/>
        <v>0</v>
      </c>
      <c r="CV789" s="1335"/>
      <c r="CW789" s="1335"/>
      <c r="CX789" s="1335"/>
      <c r="CY789" s="1336"/>
      <c r="CZ789" s="1334">
        <f t="shared" si="46"/>
        <v>0</v>
      </c>
      <c r="DA789" s="1335"/>
      <c r="DB789" s="1335"/>
      <c r="DC789" s="1335"/>
      <c r="DD789" s="1336"/>
      <c r="DE789" s="1334">
        <f t="shared" si="47"/>
        <v>0</v>
      </c>
      <c r="DF789" s="1335"/>
      <c r="DG789" s="1335"/>
      <c r="DH789" s="1335"/>
      <c r="DI789" s="1336"/>
      <c r="DJ789" s="1334">
        <f t="shared" si="48"/>
        <v>0</v>
      </c>
      <c r="DK789" s="1335"/>
      <c r="DL789" s="1335"/>
      <c r="DM789" s="1335"/>
      <c r="DN789" s="1336"/>
      <c r="DO789" s="1334">
        <f t="shared" si="49"/>
        <v>0</v>
      </c>
      <c r="DP789" s="1335"/>
      <c r="DQ789" s="1335"/>
      <c r="DR789" s="1335"/>
      <c r="DS789" s="1336"/>
      <c r="DT789" s="6"/>
      <c r="DU789" s="1334">
        <f t="shared" si="50"/>
        <v>0</v>
      </c>
      <c r="DV789" s="1335"/>
      <c r="DW789" s="1335"/>
      <c r="DX789" s="1335"/>
      <c r="DY789" s="1336"/>
      <c r="DZ789" s="1334">
        <f t="shared" si="51"/>
        <v>0</v>
      </c>
      <c r="EA789" s="1335"/>
      <c r="EB789" s="1335"/>
      <c r="EC789" s="1335"/>
      <c r="ED789" s="1336"/>
      <c r="EE789" s="1334">
        <f t="shared" si="52"/>
        <v>0</v>
      </c>
      <c r="EF789" s="1335"/>
      <c r="EG789" s="1335"/>
      <c r="EH789" s="1335"/>
      <c r="EI789" s="1336"/>
      <c r="EJ789" s="1334">
        <f t="shared" si="53"/>
        <v>0</v>
      </c>
      <c r="EK789" s="1335"/>
      <c r="EL789" s="1335"/>
      <c r="EM789" s="1335"/>
      <c r="EN789" s="1336"/>
      <c r="EO789" s="1334">
        <f t="shared" si="54"/>
        <v>0</v>
      </c>
      <c r="EP789" s="1335"/>
      <c r="EQ789" s="1335"/>
      <c r="ER789" s="1335"/>
      <c r="ES789" s="1336"/>
      <c r="ET789" s="1334">
        <f t="shared" si="55"/>
        <v>0</v>
      </c>
      <c r="EU789" s="1335"/>
      <c r="EV789" s="1335"/>
      <c r="EW789" s="1335"/>
      <c r="EX789" s="1336"/>
    </row>
    <row r="790" spans="1:154" s="14" customFormat="1" ht="13" customHeight="1">
      <c r="A790"/>
      <c r="B790"/>
      <c r="C790"/>
      <c r="D790"/>
      <c r="E790"/>
      <c r="F790"/>
      <c r="G790"/>
      <c r="H790"/>
      <c r="I790"/>
      <c r="J790" s="1357"/>
      <c r="K790" s="1358"/>
      <c r="L790" s="1358"/>
      <c r="M790" s="1358"/>
      <c r="N790" s="1359"/>
      <c r="O790" s="1466"/>
      <c r="P790" s="1466"/>
      <c r="Q790" s="1466"/>
      <c r="R790" s="1466"/>
      <c r="S790" s="1466"/>
      <c r="T790" s="1608"/>
      <c r="U790" s="1609"/>
      <c r="V790" s="1609"/>
      <c r="W790" s="1610"/>
      <c r="X790" s="1470"/>
      <c r="Y790" s="1471"/>
      <c r="Z790" s="1471"/>
      <c r="AA790" s="1471"/>
      <c r="AB790" s="1472"/>
      <c r="AC790" s="1360">
        <f t="shared" si="43"/>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4"/>
        <v>0</v>
      </c>
      <c r="CQ790" s="1335"/>
      <c r="CR790" s="1335"/>
      <c r="CS790" s="1335"/>
      <c r="CT790" s="1336"/>
      <c r="CU790" s="1334">
        <f t="shared" si="45"/>
        <v>0</v>
      </c>
      <c r="CV790" s="1335"/>
      <c r="CW790" s="1335"/>
      <c r="CX790" s="1335"/>
      <c r="CY790" s="1336"/>
      <c r="CZ790" s="1334">
        <f t="shared" si="46"/>
        <v>0</v>
      </c>
      <c r="DA790" s="1335"/>
      <c r="DB790" s="1335"/>
      <c r="DC790" s="1335"/>
      <c r="DD790" s="1336"/>
      <c r="DE790" s="1334">
        <f t="shared" si="47"/>
        <v>0</v>
      </c>
      <c r="DF790" s="1335"/>
      <c r="DG790" s="1335"/>
      <c r="DH790" s="1335"/>
      <c r="DI790" s="1336"/>
      <c r="DJ790" s="1334">
        <f t="shared" si="48"/>
        <v>0</v>
      </c>
      <c r="DK790" s="1335"/>
      <c r="DL790" s="1335"/>
      <c r="DM790" s="1335"/>
      <c r="DN790" s="1336"/>
      <c r="DO790" s="1334">
        <f t="shared" si="49"/>
        <v>0</v>
      </c>
      <c r="DP790" s="1335"/>
      <c r="DQ790" s="1335"/>
      <c r="DR790" s="1335"/>
      <c r="DS790" s="1336"/>
      <c r="DT790" s="6"/>
      <c r="DU790" s="1334">
        <f t="shared" si="50"/>
        <v>0</v>
      </c>
      <c r="DV790" s="1335"/>
      <c r="DW790" s="1335"/>
      <c r="DX790" s="1335"/>
      <c r="DY790" s="1336"/>
      <c r="DZ790" s="1334">
        <f t="shared" si="51"/>
        <v>0</v>
      </c>
      <c r="EA790" s="1335"/>
      <c r="EB790" s="1335"/>
      <c r="EC790" s="1335"/>
      <c r="ED790" s="1336"/>
      <c r="EE790" s="1334">
        <f t="shared" si="52"/>
        <v>0</v>
      </c>
      <c r="EF790" s="1335"/>
      <c r="EG790" s="1335"/>
      <c r="EH790" s="1335"/>
      <c r="EI790" s="1336"/>
      <c r="EJ790" s="1334">
        <f t="shared" si="53"/>
        <v>0</v>
      </c>
      <c r="EK790" s="1335"/>
      <c r="EL790" s="1335"/>
      <c r="EM790" s="1335"/>
      <c r="EN790" s="1336"/>
      <c r="EO790" s="1334">
        <f t="shared" si="54"/>
        <v>0</v>
      </c>
      <c r="EP790" s="1335"/>
      <c r="EQ790" s="1335"/>
      <c r="ER790" s="1335"/>
      <c r="ES790" s="1336"/>
      <c r="ET790" s="1334">
        <f t="shared" si="55"/>
        <v>0</v>
      </c>
      <c r="EU790" s="1335"/>
      <c r="EV790" s="1335"/>
      <c r="EW790" s="1335"/>
      <c r="EX790" s="1336"/>
    </row>
    <row r="791" spans="1:154" s="14" customFormat="1" ht="13" customHeight="1">
      <c r="A791"/>
      <c r="B791"/>
      <c r="C791"/>
      <c r="D791"/>
      <c r="E791"/>
      <c r="F791"/>
      <c r="G791"/>
      <c r="H791"/>
      <c r="I791"/>
      <c r="J791" s="1357"/>
      <c r="K791" s="1358"/>
      <c r="L791" s="1358"/>
      <c r="M791" s="1358"/>
      <c r="N791" s="1359"/>
      <c r="O791" s="1466"/>
      <c r="P791" s="1466"/>
      <c r="Q791" s="1466"/>
      <c r="R791" s="1466"/>
      <c r="S791" s="1466"/>
      <c r="T791" s="1608"/>
      <c r="U791" s="1609"/>
      <c r="V791" s="1609"/>
      <c r="W791" s="1610"/>
      <c r="X791" s="1470"/>
      <c r="Y791" s="1471"/>
      <c r="Z791" s="1471"/>
      <c r="AA791" s="1471"/>
      <c r="AB791" s="1472"/>
      <c r="AC791" s="1360">
        <f t="shared" si="43"/>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4"/>
        <v>0</v>
      </c>
      <c r="CQ791" s="1335"/>
      <c r="CR791" s="1335"/>
      <c r="CS791" s="1335"/>
      <c r="CT791" s="1336"/>
      <c r="CU791" s="1334">
        <f t="shared" si="45"/>
        <v>0</v>
      </c>
      <c r="CV791" s="1335"/>
      <c r="CW791" s="1335"/>
      <c r="CX791" s="1335"/>
      <c r="CY791" s="1336"/>
      <c r="CZ791" s="1334">
        <f t="shared" si="46"/>
        <v>0</v>
      </c>
      <c r="DA791" s="1335"/>
      <c r="DB791" s="1335"/>
      <c r="DC791" s="1335"/>
      <c r="DD791" s="1336"/>
      <c r="DE791" s="1334">
        <f t="shared" si="47"/>
        <v>0</v>
      </c>
      <c r="DF791" s="1335"/>
      <c r="DG791" s="1335"/>
      <c r="DH791" s="1335"/>
      <c r="DI791" s="1336"/>
      <c r="DJ791" s="1334">
        <f t="shared" si="48"/>
        <v>0</v>
      </c>
      <c r="DK791" s="1335"/>
      <c r="DL791" s="1335"/>
      <c r="DM791" s="1335"/>
      <c r="DN791" s="1336"/>
      <c r="DO791" s="1334">
        <f t="shared" si="49"/>
        <v>0</v>
      </c>
      <c r="DP791" s="1335"/>
      <c r="DQ791" s="1335"/>
      <c r="DR791" s="1335"/>
      <c r="DS791" s="1336"/>
      <c r="DT791" s="6"/>
      <c r="DU791" s="1334">
        <f t="shared" si="50"/>
        <v>0</v>
      </c>
      <c r="DV791" s="1335"/>
      <c r="DW791" s="1335"/>
      <c r="DX791" s="1335"/>
      <c r="DY791" s="1336"/>
      <c r="DZ791" s="1334">
        <f t="shared" si="51"/>
        <v>0</v>
      </c>
      <c r="EA791" s="1335"/>
      <c r="EB791" s="1335"/>
      <c r="EC791" s="1335"/>
      <c r="ED791" s="1336"/>
      <c r="EE791" s="1334">
        <f t="shared" si="52"/>
        <v>0</v>
      </c>
      <c r="EF791" s="1335"/>
      <c r="EG791" s="1335"/>
      <c r="EH791" s="1335"/>
      <c r="EI791" s="1336"/>
      <c r="EJ791" s="1334">
        <f t="shared" si="53"/>
        <v>0</v>
      </c>
      <c r="EK791" s="1335"/>
      <c r="EL791" s="1335"/>
      <c r="EM791" s="1335"/>
      <c r="EN791" s="1336"/>
      <c r="EO791" s="1334">
        <f t="shared" si="54"/>
        <v>0</v>
      </c>
      <c r="EP791" s="1335"/>
      <c r="EQ791" s="1335"/>
      <c r="ER791" s="1335"/>
      <c r="ES791" s="1336"/>
      <c r="ET791" s="1334">
        <f t="shared" si="55"/>
        <v>0</v>
      </c>
      <c r="EU791" s="1335"/>
      <c r="EV791" s="1335"/>
      <c r="EW791" s="1335"/>
      <c r="EX791" s="1336"/>
    </row>
    <row r="792" spans="1:154" s="14" customFormat="1" ht="13" customHeight="1">
      <c r="A792"/>
      <c r="B792"/>
      <c r="C792"/>
      <c r="D792"/>
      <c r="E792"/>
      <c r="F792"/>
      <c r="G792"/>
      <c r="H792"/>
      <c r="I792"/>
      <c r="J792" s="1357"/>
      <c r="K792" s="1358"/>
      <c r="L792" s="1358"/>
      <c r="M792" s="1358"/>
      <c r="N792" s="1359"/>
      <c r="O792" s="1466"/>
      <c r="P792" s="1466"/>
      <c r="Q792" s="1466"/>
      <c r="R792" s="1466"/>
      <c r="S792" s="1466"/>
      <c r="T792" s="1608"/>
      <c r="U792" s="1609"/>
      <c r="V792" s="1609"/>
      <c r="W792" s="1610"/>
      <c r="X792" s="1470"/>
      <c r="Y792" s="1471"/>
      <c r="Z792" s="1471"/>
      <c r="AA792" s="1471"/>
      <c r="AB792" s="1472"/>
      <c r="AC792" s="1360">
        <f t="shared" si="43"/>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4"/>
        <v>0</v>
      </c>
      <c r="CQ792" s="1335"/>
      <c r="CR792" s="1335"/>
      <c r="CS792" s="1335"/>
      <c r="CT792" s="1336"/>
      <c r="CU792" s="1334">
        <f t="shared" si="45"/>
        <v>0</v>
      </c>
      <c r="CV792" s="1335"/>
      <c r="CW792" s="1335"/>
      <c r="CX792" s="1335"/>
      <c r="CY792" s="1336"/>
      <c r="CZ792" s="1334">
        <f t="shared" si="46"/>
        <v>0</v>
      </c>
      <c r="DA792" s="1335"/>
      <c r="DB792" s="1335"/>
      <c r="DC792" s="1335"/>
      <c r="DD792" s="1336"/>
      <c r="DE792" s="1334">
        <f t="shared" si="47"/>
        <v>0</v>
      </c>
      <c r="DF792" s="1335"/>
      <c r="DG792" s="1335"/>
      <c r="DH792" s="1335"/>
      <c r="DI792" s="1336"/>
      <c r="DJ792" s="1334">
        <f t="shared" si="48"/>
        <v>0</v>
      </c>
      <c r="DK792" s="1335"/>
      <c r="DL792" s="1335"/>
      <c r="DM792" s="1335"/>
      <c r="DN792" s="1336"/>
      <c r="DO792" s="1334">
        <f t="shared" si="49"/>
        <v>0</v>
      </c>
      <c r="DP792" s="1335"/>
      <c r="DQ792" s="1335"/>
      <c r="DR792" s="1335"/>
      <c r="DS792" s="1336"/>
      <c r="DT792" s="6"/>
      <c r="DU792" s="1334">
        <f t="shared" si="50"/>
        <v>0</v>
      </c>
      <c r="DV792" s="1335"/>
      <c r="DW792" s="1335"/>
      <c r="DX792" s="1335"/>
      <c r="DY792" s="1336"/>
      <c r="DZ792" s="1334">
        <f t="shared" si="51"/>
        <v>0</v>
      </c>
      <c r="EA792" s="1335"/>
      <c r="EB792" s="1335"/>
      <c r="EC792" s="1335"/>
      <c r="ED792" s="1336"/>
      <c r="EE792" s="1334">
        <f t="shared" si="52"/>
        <v>0</v>
      </c>
      <c r="EF792" s="1335"/>
      <c r="EG792" s="1335"/>
      <c r="EH792" s="1335"/>
      <c r="EI792" s="1336"/>
      <c r="EJ792" s="1334">
        <f t="shared" si="53"/>
        <v>0</v>
      </c>
      <c r="EK792" s="1335"/>
      <c r="EL792" s="1335"/>
      <c r="EM792" s="1335"/>
      <c r="EN792" s="1336"/>
      <c r="EO792" s="1334">
        <f t="shared" si="54"/>
        <v>0</v>
      </c>
      <c r="EP792" s="1335"/>
      <c r="EQ792" s="1335"/>
      <c r="ER792" s="1335"/>
      <c r="ES792" s="1336"/>
      <c r="ET792" s="1334">
        <f t="shared" si="55"/>
        <v>0</v>
      </c>
      <c r="EU792" s="1335"/>
      <c r="EV792" s="1335"/>
      <c r="EW792" s="1335"/>
      <c r="EX792" s="1336"/>
    </row>
    <row r="793" spans="1:154" s="14" customFormat="1" ht="13" customHeight="1">
      <c r="A793"/>
      <c r="B793"/>
      <c r="C793"/>
      <c r="D793"/>
      <c r="E793"/>
      <c r="F793"/>
      <c r="G793"/>
      <c r="H793"/>
      <c r="I793"/>
      <c r="J793" s="1357"/>
      <c r="K793" s="1358"/>
      <c r="L793" s="1358"/>
      <c r="M793" s="1358"/>
      <c r="N793" s="1359"/>
      <c r="O793" s="1466"/>
      <c r="P793" s="1466"/>
      <c r="Q793" s="1466"/>
      <c r="R793" s="1466"/>
      <c r="S793" s="1466"/>
      <c r="T793" s="1608"/>
      <c r="U793" s="1609"/>
      <c r="V793" s="1609"/>
      <c r="W793" s="1610"/>
      <c r="X793" s="1470"/>
      <c r="Y793" s="1471"/>
      <c r="Z793" s="1471"/>
      <c r="AA793" s="1471"/>
      <c r="AB793" s="1472"/>
      <c r="AC793" s="1360">
        <f t="shared" si="43"/>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4"/>
        <v>0</v>
      </c>
      <c r="CQ793" s="1335"/>
      <c r="CR793" s="1335"/>
      <c r="CS793" s="1335"/>
      <c r="CT793" s="1336"/>
      <c r="CU793" s="1334">
        <f t="shared" si="45"/>
        <v>0</v>
      </c>
      <c r="CV793" s="1335"/>
      <c r="CW793" s="1335"/>
      <c r="CX793" s="1335"/>
      <c r="CY793" s="1336"/>
      <c r="CZ793" s="1334">
        <f t="shared" si="46"/>
        <v>0</v>
      </c>
      <c r="DA793" s="1335"/>
      <c r="DB793" s="1335"/>
      <c r="DC793" s="1335"/>
      <c r="DD793" s="1336"/>
      <c r="DE793" s="1334">
        <f t="shared" si="47"/>
        <v>0</v>
      </c>
      <c r="DF793" s="1335"/>
      <c r="DG793" s="1335"/>
      <c r="DH793" s="1335"/>
      <c r="DI793" s="1336"/>
      <c r="DJ793" s="1334">
        <f t="shared" si="48"/>
        <v>0</v>
      </c>
      <c r="DK793" s="1335"/>
      <c r="DL793" s="1335"/>
      <c r="DM793" s="1335"/>
      <c r="DN793" s="1336"/>
      <c r="DO793" s="1334">
        <f t="shared" si="49"/>
        <v>0</v>
      </c>
      <c r="DP793" s="1335"/>
      <c r="DQ793" s="1335"/>
      <c r="DR793" s="1335"/>
      <c r="DS793" s="1336"/>
      <c r="DT793" s="6"/>
      <c r="DU793" s="1334">
        <f t="shared" si="50"/>
        <v>0</v>
      </c>
      <c r="DV793" s="1335"/>
      <c r="DW793" s="1335"/>
      <c r="DX793" s="1335"/>
      <c r="DY793" s="1336"/>
      <c r="DZ793" s="1334">
        <f t="shared" si="51"/>
        <v>0</v>
      </c>
      <c r="EA793" s="1335"/>
      <c r="EB793" s="1335"/>
      <c r="EC793" s="1335"/>
      <c r="ED793" s="1336"/>
      <c r="EE793" s="1334">
        <f t="shared" si="52"/>
        <v>0</v>
      </c>
      <c r="EF793" s="1335"/>
      <c r="EG793" s="1335"/>
      <c r="EH793" s="1335"/>
      <c r="EI793" s="1336"/>
      <c r="EJ793" s="1334">
        <f t="shared" si="53"/>
        <v>0</v>
      </c>
      <c r="EK793" s="1335"/>
      <c r="EL793" s="1335"/>
      <c r="EM793" s="1335"/>
      <c r="EN793" s="1336"/>
      <c r="EO793" s="1334">
        <f t="shared" si="54"/>
        <v>0</v>
      </c>
      <c r="EP793" s="1335"/>
      <c r="EQ793" s="1335"/>
      <c r="ER793" s="1335"/>
      <c r="ES793" s="1336"/>
      <c r="ET793" s="1334">
        <f t="shared" si="55"/>
        <v>0</v>
      </c>
      <c r="EU793" s="1335"/>
      <c r="EV793" s="1335"/>
      <c r="EW793" s="1335"/>
      <c r="EX793" s="1336"/>
    </row>
    <row r="794" spans="1:154" s="14" customFormat="1" ht="13" customHeight="1">
      <c r="A794"/>
      <c r="B794"/>
      <c r="C794"/>
      <c r="D794"/>
      <c r="E794"/>
      <c r="F794"/>
      <c r="G794"/>
      <c r="H794"/>
      <c r="I794"/>
      <c r="J794" s="1357"/>
      <c r="K794" s="1358"/>
      <c r="L794" s="1358"/>
      <c r="M794" s="1358"/>
      <c r="N794" s="1359"/>
      <c r="O794" s="1466"/>
      <c r="P794" s="1466"/>
      <c r="Q794" s="1466"/>
      <c r="R794" s="1466"/>
      <c r="S794" s="1466"/>
      <c r="T794" s="1608"/>
      <c r="U794" s="1609"/>
      <c r="V794" s="1609"/>
      <c r="W794" s="1610"/>
      <c r="X794" s="1470"/>
      <c r="Y794" s="1471"/>
      <c r="Z794" s="1471"/>
      <c r="AA794" s="1471"/>
      <c r="AB794" s="1472"/>
      <c r="AC794" s="1360">
        <f t="shared" si="43"/>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4"/>
        <v>0</v>
      </c>
      <c r="CQ794" s="1335"/>
      <c r="CR794" s="1335"/>
      <c r="CS794" s="1335"/>
      <c r="CT794" s="1336"/>
      <c r="CU794" s="1334">
        <f t="shared" si="45"/>
        <v>0</v>
      </c>
      <c r="CV794" s="1335"/>
      <c r="CW794" s="1335"/>
      <c r="CX794" s="1335"/>
      <c r="CY794" s="1336"/>
      <c r="CZ794" s="1334">
        <f t="shared" si="46"/>
        <v>0</v>
      </c>
      <c r="DA794" s="1335"/>
      <c r="DB794" s="1335"/>
      <c r="DC794" s="1335"/>
      <c r="DD794" s="1336"/>
      <c r="DE794" s="1334">
        <f t="shared" si="47"/>
        <v>0</v>
      </c>
      <c r="DF794" s="1335"/>
      <c r="DG794" s="1335"/>
      <c r="DH794" s="1335"/>
      <c r="DI794" s="1336"/>
      <c r="DJ794" s="1334">
        <f t="shared" si="48"/>
        <v>0</v>
      </c>
      <c r="DK794" s="1335"/>
      <c r="DL794" s="1335"/>
      <c r="DM794" s="1335"/>
      <c r="DN794" s="1336"/>
      <c r="DO794" s="1334">
        <f t="shared" si="49"/>
        <v>0</v>
      </c>
      <c r="DP794" s="1335"/>
      <c r="DQ794" s="1335"/>
      <c r="DR794" s="1335"/>
      <c r="DS794" s="1336"/>
      <c r="DT794" s="6"/>
      <c r="DU794" s="1334">
        <f t="shared" si="50"/>
        <v>0</v>
      </c>
      <c r="DV794" s="1335"/>
      <c r="DW794" s="1335"/>
      <c r="DX794" s="1335"/>
      <c r="DY794" s="1336"/>
      <c r="DZ794" s="1334">
        <f t="shared" si="51"/>
        <v>0</v>
      </c>
      <c r="EA794" s="1335"/>
      <c r="EB794" s="1335"/>
      <c r="EC794" s="1335"/>
      <c r="ED794" s="1336"/>
      <c r="EE794" s="1334">
        <f t="shared" si="52"/>
        <v>0</v>
      </c>
      <c r="EF794" s="1335"/>
      <c r="EG794" s="1335"/>
      <c r="EH794" s="1335"/>
      <c r="EI794" s="1336"/>
      <c r="EJ794" s="1334">
        <f t="shared" si="53"/>
        <v>0</v>
      </c>
      <c r="EK794" s="1335"/>
      <c r="EL794" s="1335"/>
      <c r="EM794" s="1335"/>
      <c r="EN794" s="1336"/>
      <c r="EO794" s="1334">
        <f t="shared" si="54"/>
        <v>0</v>
      </c>
      <c r="EP794" s="1335"/>
      <c r="EQ794" s="1335"/>
      <c r="ER794" s="1335"/>
      <c r="ES794" s="1336"/>
      <c r="ET794" s="1334">
        <f t="shared" si="55"/>
        <v>0</v>
      </c>
      <c r="EU794" s="1335"/>
      <c r="EV794" s="1335"/>
      <c r="EW794" s="1335"/>
      <c r="EX794" s="1336"/>
    </row>
    <row r="795" spans="1:154" s="14" customFormat="1" ht="13" customHeight="1">
      <c r="A795"/>
      <c r="B795"/>
      <c r="C795"/>
      <c r="D795"/>
      <c r="E795"/>
      <c r="F795"/>
      <c r="G795"/>
      <c r="H795"/>
      <c r="I795"/>
      <c r="J795" s="1357"/>
      <c r="K795" s="1358"/>
      <c r="L795" s="1358"/>
      <c r="M795" s="1358"/>
      <c r="N795" s="1359"/>
      <c r="O795" s="1466"/>
      <c r="P795" s="1466"/>
      <c r="Q795" s="1466"/>
      <c r="R795" s="1466"/>
      <c r="S795" s="1466"/>
      <c r="T795" s="1608"/>
      <c r="U795" s="1609"/>
      <c r="V795" s="1609"/>
      <c r="W795" s="1610"/>
      <c r="X795" s="1470"/>
      <c r="Y795" s="1471"/>
      <c r="Z795" s="1471"/>
      <c r="AA795" s="1471"/>
      <c r="AB795" s="1472"/>
      <c r="AC795" s="1360">
        <f t="shared" si="43"/>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4"/>
        <v>0</v>
      </c>
      <c r="CQ795" s="1335"/>
      <c r="CR795" s="1335"/>
      <c r="CS795" s="1335"/>
      <c r="CT795" s="1336"/>
      <c r="CU795" s="1334">
        <f t="shared" si="45"/>
        <v>0</v>
      </c>
      <c r="CV795" s="1335"/>
      <c r="CW795" s="1335"/>
      <c r="CX795" s="1335"/>
      <c r="CY795" s="1336"/>
      <c r="CZ795" s="1334">
        <f t="shared" si="46"/>
        <v>0</v>
      </c>
      <c r="DA795" s="1335"/>
      <c r="DB795" s="1335"/>
      <c r="DC795" s="1335"/>
      <c r="DD795" s="1336"/>
      <c r="DE795" s="1334">
        <f t="shared" si="47"/>
        <v>0</v>
      </c>
      <c r="DF795" s="1335"/>
      <c r="DG795" s="1335"/>
      <c r="DH795" s="1335"/>
      <c r="DI795" s="1336"/>
      <c r="DJ795" s="1334">
        <f t="shared" si="48"/>
        <v>0</v>
      </c>
      <c r="DK795" s="1335"/>
      <c r="DL795" s="1335"/>
      <c r="DM795" s="1335"/>
      <c r="DN795" s="1336"/>
      <c r="DO795" s="1334">
        <f t="shared" si="49"/>
        <v>0</v>
      </c>
      <c r="DP795" s="1335"/>
      <c r="DQ795" s="1335"/>
      <c r="DR795" s="1335"/>
      <c r="DS795" s="1336"/>
      <c r="DT795" s="6"/>
      <c r="DU795" s="1334">
        <f t="shared" si="50"/>
        <v>0</v>
      </c>
      <c r="DV795" s="1335"/>
      <c r="DW795" s="1335"/>
      <c r="DX795" s="1335"/>
      <c r="DY795" s="1336"/>
      <c r="DZ795" s="1334">
        <f t="shared" si="51"/>
        <v>0</v>
      </c>
      <c r="EA795" s="1335"/>
      <c r="EB795" s="1335"/>
      <c r="EC795" s="1335"/>
      <c r="ED795" s="1336"/>
      <c r="EE795" s="1334">
        <f t="shared" si="52"/>
        <v>0</v>
      </c>
      <c r="EF795" s="1335"/>
      <c r="EG795" s="1335"/>
      <c r="EH795" s="1335"/>
      <c r="EI795" s="1336"/>
      <c r="EJ795" s="1334">
        <f t="shared" si="53"/>
        <v>0</v>
      </c>
      <c r="EK795" s="1335"/>
      <c r="EL795" s="1335"/>
      <c r="EM795" s="1335"/>
      <c r="EN795" s="1336"/>
      <c r="EO795" s="1334">
        <f t="shared" si="54"/>
        <v>0</v>
      </c>
      <c r="EP795" s="1335"/>
      <c r="EQ795" s="1335"/>
      <c r="ER795" s="1335"/>
      <c r="ES795" s="1336"/>
      <c r="ET795" s="1334">
        <f t="shared" si="55"/>
        <v>0</v>
      </c>
      <c r="EU795" s="1335"/>
      <c r="EV795" s="1335"/>
      <c r="EW795" s="1335"/>
      <c r="EX795" s="1336"/>
    </row>
    <row r="796" spans="1:154" s="4" customFormat="1" ht="13" customHeight="1">
      <c r="A796"/>
      <c r="B796"/>
      <c r="C796"/>
      <c r="D796"/>
      <c r="E796"/>
      <c r="F796"/>
      <c r="G796"/>
      <c r="H796"/>
      <c r="I796"/>
      <c r="J796" s="1357"/>
      <c r="K796" s="1358"/>
      <c r="L796" s="1358"/>
      <c r="M796" s="1358"/>
      <c r="N796" s="1359"/>
      <c r="O796" s="1466"/>
      <c r="P796" s="1466"/>
      <c r="Q796" s="1466"/>
      <c r="R796" s="1466"/>
      <c r="S796" s="1466"/>
      <c r="T796" s="1608"/>
      <c r="U796" s="1609"/>
      <c r="V796" s="1609"/>
      <c r="W796" s="1610"/>
      <c r="X796" s="1470"/>
      <c r="Y796" s="1471"/>
      <c r="Z796" s="1471"/>
      <c r="AA796" s="1471"/>
      <c r="AB796" s="1472"/>
      <c r="AC796" s="1360">
        <f t="shared" si="43"/>
        <v>0</v>
      </c>
      <c r="AD796" s="1361"/>
      <c r="AE796" s="1361"/>
      <c r="AF796" s="1361"/>
      <c r="AG796" s="1362"/>
      <c r="AH796"/>
      <c r="AI796"/>
      <c r="AJ796"/>
      <c r="AK796"/>
      <c r="AL796"/>
      <c r="AM796"/>
      <c r="AN796"/>
      <c r="AO796"/>
      <c r="AP796"/>
      <c r="AQ796"/>
      <c r="AR796"/>
      <c r="AS796"/>
      <c r="AT796"/>
      <c r="AU796"/>
      <c r="AV796"/>
      <c r="AW796"/>
      <c r="AX796"/>
      <c r="AY796"/>
      <c r="AZ796" s="3"/>
      <c r="CP796" s="1334">
        <f t="shared" si="44"/>
        <v>0</v>
      </c>
      <c r="CQ796" s="1335"/>
      <c r="CR796" s="1335"/>
      <c r="CS796" s="1335"/>
      <c r="CT796" s="1336"/>
      <c r="CU796" s="1334">
        <f t="shared" si="45"/>
        <v>0</v>
      </c>
      <c r="CV796" s="1335"/>
      <c r="CW796" s="1335"/>
      <c r="CX796" s="1335"/>
      <c r="CY796" s="1336"/>
      <c r="CZ796" s="1334">
        <f t="shared" si="46"/>
        <v>0</v>
      </c>
      <c r="DA796" s="1335"/>
      <c r="DB796" s="1335"/>
      <c r="DC796" s="1335"/>
      <c r="DD796" s="1336"/>
      <c r="DE796" s="1334">
        <f t="shared" si="47"/>
        <v>0</v>
      </c>
      <c r="DF796" s="1335"/>
      <c r="DG796" s="1335"/>
      <c r="DH796" s="1335"/>
      <c r="DI796" s="1336"/>
      <c r="DJ796" s="1334">
        <f t="shared" si="48"/>
        <v>0</v>
      </c>
      <c r="DK796" s="1335"/>
      <c r="DL796" s="1335"/>
      <c r="DM796" s="1335"/>
      <c r="DN796" s="1336"/>
      <c r="DO796" s="1334">
        <f t="shared" si="49"/>
        <v>0</v>
      </c>
      <c r="DP796" s="1335"/>
      <c r="DQ796" s="1335"/>
      <c r="DR796" s="1335"/>
      <c r="DS796" s="1336"/>
      <c r="DT796" s="6"/>
      <c r="DU796" s="1334">
        <f t="shared" si="50"/>
        <v>0</v>
      </c>
      <c r="DV796" s="1335"/>
      <c r="DW796" s="1335"/>
      <c r="DX796" s="1335"/>
      <c r="DY796" s="1336"/>
      <c r="DZ796" s="1334">
        <f t="shared" si="51"/>
        <v>0</v>
      </c>
      <c r="EA796" s="1335"/>
      <c r="EB796" s="1335"/>
      <c r="EC796" s="1335"/>
      <c r="ED796" s="1336"/>
      <c r="EE796" s="1334">
        <f t="shared" si="52"/>
        <v>0</v>
      </c>
      <c r="EF796" s="1335"/>
      <c r="EG796" s="1335"/>
      <c r="EH796" s="1335"/>
      <c r="EI796" s="1336"/>
      <c r="EJ796" s="1334">
        <f t="shared" si="53"/>
        <v>0</v>
      </c>
      <c r="EK796" s="1335"/>
      <c r="EL796" s="1335"/>
      <c r="EM796" s="1335"/>
      <c r="EN796" s="1336"/>
      <c r="EO796" s="1334">
        <f t="shared" si="54"/>
        <v>0</v>
      </c>
      <c r="EP796" s="1335"/>
      <c r="EQ796" s="1335"/>
      <c r="ER796" s="1335"/>
      <c r="ES796" s="1336"/>
      <c r="ET796" s="1334">
        <f t="shared" si="55"/>
        <v>0</v>
      </c>
      <c r="EU796" s="1335"/>
      <c r="EV796" s="1335"/>
      <c r="EW796" s="1335"/>
      <c r="EX796" s="1336"/>
    </row>
    <row r="797" spans="1:154" s="4" customFormat="1" ht="13" customHeight="1">
      <c r="A797"/>
      <c r="B797"/>
      <c r="C797"/>
      <c r="D797"/>
      <c r="E797"/>
      <c r="F797"/>
      <c r="G797"/>
      <c r="H797"/>
      <c r="I797"/>
      <c r="J797" s="1410" t="s">
        <v>125</v>
      </c>
      <c r="K797" s="1411"/>
      <c r="L797" s="1411"/>
      <c r="M797" s="1411"/>
      <c r="N797" s="1413"/>
      <c r="O797" s="1628">
        <f>SUM(O787:S796)</f>
        <v>0</v>
      </c>
      <c r="P797" s="1628"/>
      <c r="Q797" s="1628"/>
      <c r="R797" s="1628"/>
      <c r="S797" s="1628"/>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3"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347">
        <f>SUM(DU797:EX797)</f>
        <v>0</v>
      </c>
      <c r="EU799" s="1348"/>
      <c r="EV799" s="1348"/>
      <c r="EW799" s="1348"/>
      <c r="EX799" s="1349"/>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196189.82199999999</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2354277.8640000001</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35</v>
      </c>
      <c r="CV802" s="1351"/>
      <c r="CW802" s="1351"/>
      <c r="CX802" s="1351"/>
      <c r="CY802" s="1352"/>
      <c r="CZ802" s="1350">
        <f>CZ753+CZ777+CZ797</f>
        <v>28</v>
      </c>
      <c r="DA802" s="1351"/>
      <c r="DB802" s="1351"/>
      <c r="DC802" s="1351"/>
      <c r="DD802" s="1352"/>
      <c r="DE802" s="1350">
        <f>DE753+DE777+DE797</f>
        <v>35</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193</v>
      </c>
      <c r="DV802" s="57" t="s">
        <v>1862</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7"/>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1"/>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v>0</v>
      </c>
      <c r="AA808" s="1522"/>
      <c r="AB808" s="1522"/>
      <c r="AC808" s="1522"/>
      <c r="AD808" s="1522"/>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14112</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4704</v>
      </c>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6" t="s">
        <v>334</v>
      </c>
      <c r="Q816" s="1647"/>
      <c r="R816" s="1647"/>
      <c r="S816" s="1647"/>
      <c r="T816" s="1647"/>
      <c r="U816" s="1647"/>
      <c r="V816" s="1647"/>
      <c r="W816" s="1647"/>
      <c r="X816" s="1647"/>
      <c r="Y816" s="1648"/>
      <c r="Z816" s="1477"/>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18816</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4">
        <f>Z817+Y801+Z809</f>
        <v>2373093.8640000001</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90" t="s">
        <v>126</v>
      </c>
      <c r="N823" s="1690"/>
      <c r="O823" s="1690"/>
      <c r="P823" s="1691"/>
      <c r="Q823" s="1625" t="s">
        <v>290</v>
      </c>
      <c r="R823" s="1625"/>
      <c r="S823" s="1625"/>
      <c r="T823" s="1625"/>
      <c r="U823" s="1625" t="s">
        <v>291</v>
      </c>
      <c r="V823" s="1625"/>
      <c r="W823" s="1625"/>
      <c r="X823" s="1625"/>
      <c r="Y823" s="1625" t="s">
        <v>292</v>
      </c>
      <c r="Z823" s="1625"/>
      <c r="AA823" s="1625"/>
      <c r="AB823" s="1625"/>
      <c r="AC823" s="1625" t="s">
        <v>361</v>
      </c>
      <c r="AD823" s="1625"/>
      <c r="AE823" s="1625"/>
      <c r="AF823" s="1625"/>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92"/>
      <c r="N824" s="1692"/>
      <c r="O824" s="1692"/>
      <c r="P824" s="1693"/>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7" t="s">
        <v>40</v>
      </c>
      <c r="D825" s="1485"/>
      <c r="E825" s="1485"/>
      <c r="F825" s="1485"/>
      <c r="G825" s="1485"/>
      <c r="H825" s="1485"/>
      <c r="I825" s="48"/>
      <c r="J825" s="48"/>
      <c r="K825" s="48"/>
      <c r="L825" s="49"/>
      <c r="M825" s="1604"/>
      <c r="N825" s="1604"/>
      <c r="O825" s="1604"/>
      <c r="P825" s="1604"/>
      <c r="Q825" s="1604">
        <v>28</v>
      </c>
      <c r="R825" s="1604"/>
      <c r="S825" s="1604"/>
      <c r="T825" s="1604"/>
      <c r="U825" s="1604">
        <v>32</v>
      </c>
      <c r="V825" s="1604"/>
      <c r="W825" s="1604"/>
      <c r="X825" s="1604"/>
      <c r="Y825" s="1604">
        <v>36</v>
      </c>
      <c r="Z825" s="1604"/>
      <c r="AA825" s="1604"/>
      <c r="AB825" s="1604"/>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6" t="s">
        <v>41</v>
      </c>
      <c r="D826" s="1443"/>
      <c r="E826" s="1443"/>
      <c r="F826" s="1443"/>
      <c r="G826" s="1443"/>
      <c r="H826" s="1443"/>
      <c r="I826" s="5"/>
      <c r="J826" s="5"/>
      <c r="K826" s="5"/>
      <c r="L826" s="46"/>
      <c r="M826" s="1604"/>
      <c r="N826" s="1604"/>
      <c r="O826" s="1604"/>
      <c r="P826" s="1604"/>
      <c r="Q826" s="1604"/>
      <c r="R826" s="1604"/>
      <c r="S826" s="1604"/>
      <c r="T826" s="1604"/>
      <c r="U826" s="1604"/>
      <c r="V826" s="1604"/>
      <c r="W826" s="1604"/>
      <c r="X826" s="1604"/>
      <c r="Y826" s="1604"/>
      <c r="Z826" s="1604"/>
      <c r="AA826" s="1604"/>
      <c r="AB826" s="1604"/>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6" t="s">
        <v>42</v>
      </c>
      <c r="D827" s="1443"/>
      <c r="E827" s="1443"/>
      <c r="F827" s="1443"/>
      <c r="G827" s="1443"/>
      <c r="H827" s="1443"/>
      <c r="I827" s="60"/>
      <c r="J827" s="60"/>
      <c r="K827" s="60"/>
      <c r="L827" s="61"/>
      <c r="M827" s="1604"/>
      <c r="N827" s="1604"/>
      <c r="O827" s="1604"/>
      <c r="P827" s="1604"/>
      <c r="Q827" s="1604">
        <v>12</v>
      </c>
      <c r="R827" s="1604"/>
      <c r="S827" s="1604"/>
      <c r="T827" s="1604"/>
      <c r="U827" s="1604">
        <v>18</v>
      </c>
      <c r="V827" s="1604"/>
      <c r="W827" s="1604"/>
      <c r="X827" s="1604"/>
      <c r="Y827" s="1604">
        <v>28</v>
      </c>
      <c r="Z827" s="1604"/>
      <c r="AA827" s="1604"/>
      <c r="AB827" s="1604"/>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6" t="s">
        <v>762</v>
      </c>
      <c r="D828" s="1443"/>
      <c r="E828" s="1443"/>
      <c r="F828" s="1443"/>
      <c r="G828" s="1443"/>
      <c r="H828" s="1443"/>
      <c r="I828" s="60"/>
      <c r="J828" s="60"/>
      <c r="K828" s="60"/>
      <c r="L828" s="61"/>
      <c r="M828" s="1604"/>
      <c r="N828" s="1604"/>
      <c r="O828" s="1604"/>
      <c r="P828" s="1604"/>
      <c r="Q828" s="1604"/>
      <c r="R828" s="1604"/>
      <c r="S828" s="1604"/>
      <c r="T828" s="1604"/>
      <c r="U828" s="1604"/>
      <c r="V828" s="1604"/>
      <c r="W828" s="1604"/>
      <c r="X828" s="1604"/>
      <c r="Y828" s="1604"/>
      <c r="Z828" s="1604"/>
      <c r="AA828" s="1604"/>
      <c r="AB828" s="1604"/>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6" t="s">
        <v>459</v>
      </c>
      <c r="D829" s="1443"/>
      <c r="E829" s="1443"/>
      <c r="F829" s="1443"/>
      <c r="G829" s="1443"/>
      <c r="H829" s="1443"/>
      <c r="I829" s="60"/>
      <c r="J829" s="60"/>
      <c r="K829" s="60"/>
      <c r="L829" s="61"/>
      <c r="M829" s="1604"/>
      <c r="N829" s="1604"/>
      <c r="O829" s="1604"/>
      <c r="P829" s="1604"/>
      <c r="Q829" s="1604"/>
      <c r="R829" s="1604"/>
      <c r="S829" s="1604"/>
      <c r="T829" s="1604"/>
      <c r="U829" s="1604"/>
      <c r="V829" s="1604"/>
      <c r="W829" s="1604"/>
      <c r="X829" s="1604"/>
      <c r="Y829" s="1604"/>
      <c r="Z829" s="1604"/>
      <c r="AA829" s="1604"/>
      <c r="AB829" s="1604"/>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5" t="s">
        <v>783</v>
      </c>
      <c r="D830" s="1443"/>
      <c r="E830" s="1443"/>
      <c r="F830" s="1443"/>
      <c r="G830" s="1443"/>
      <c r="H830" s="1443"/>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6" t="s">
        <v>2693</v>
      </c>
      <c r="G831" s="1647"/>
      <c r="H831" s="1647"/>
      <c r="I831" s="1647"/>
      <c r="J831" s="1647"/>
      <c r="K831" s="1647"/>
      <c r="L831" s="1647"/>
      <c r="M831" s="1604"/>
      <c r="N831" s="1604"/>
      <c r="O831" s="1604"/>
      <c r="P831" s="1604"/>
      <c r="Q831" s="1604">
        <v>46</v>
      </c>
      <c r="R831" s="1604"/>
      <c r="S831" s="1604"/>
      <c r="T831" s="1604"/>
      <c r="U831" s="1604">
        <v>64</v>
      </c>
      <c r="V831" s="1604"/>
      <c r="W831" s="1604"/>
      <c r="X831" s="1604"/>
      <c r="Y831" s="1604">
        <v>82</v>
      </c>
      <c r="Z831" s="1604"/>
      <c r="AA831" s="1604"/>
      <c r="AB831" s="1604"/>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0" t="s">
        <v>124</v>
      </c>
      <c r="D832" s="1411"/>
      <c r="E832" s="1411"/>
      <c r="F832" s="1411"/>
      <c r="G832" s="1411"/>
      <c r="H832" s="1411"/>
      <c r="I832" s="1411"/>
      <c r="J832" s="1411"/>
      <c r="K832" s="1411"/>
      <c r="L832" s="1413"/>
      <c r="M832" s="1653">
        <f>SUM(M825:P831)</f>
        <v>0</v>
      </c>
      <c r="N832" s="1653"/>
      <c r="O832" s="1653"/>
      <c r="P832" s="1653"/>
      <c r="Q832" s="1653">
        <f>SUM(Q825:T831)</f>
        <v>86</v>
      </c>
      <c r="R832" s="1653"/>
      <c r="S832" s="1653"/>
      <c r="T832" s="1653"/>
      <c r="U832" s="1653">
        <f>SUM(U825:X831)</f>
        <v>114</v>
      </c>
      <c r="V832" s="1653"/>
      <c r="W832" s="1653"/>
      <c r="X832" s="1653"/>
      <c r="Y832" s="1653">
        <f>SUM(Y825:AB831)</f>
        <v>146</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9" t="s">
        <v>2614</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c r="BJ841" s="1667"/>
      <c r="BK841" s="1667"/>
      <c r="BL841" s="1667"/>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42">
        <v>3500</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42">
        <v>5100</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42">
        <v>16000</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42">
        <v>12500</v>
      </c>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3" customHeight="1">
      <c r="J846" s="45" t="s">
        <v>170</v>
      </c>
      <c r="K846" s="5"/>
      <c r="L846" s="5"/>
      <c r="M846" s="1646" t="s">
        <v>2724</v>
      </c>
      <c r="N846" s="1647"/>
      <c r="O846" s="1647"/>
      <c r="P846" s="1647"/>
      <c r="Q846" s="1647"/>
      <c r="R846" s="1647"/>
      <c r="S846" s="1647"/>
      <c r="T846" s="1647"/>
      <c r="U846" s="1647"/>
      <c r="V846" s="1648"/>
      <c r="W846" s="1642">
        <v>14000</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4">
        <f>SUM(W842:W846)</f>
        <v>51100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8"/>
      <c r="BH848" s="1638"/>
      <c r="BI848" s="1638"/>
      <c r="BJ848" s="1638"/>
      <c r="BK848" s="1638"/>
      <c r="BL848" s="1638"/>
    </row>
    <row r="849" spans="3:55" ht="13" customHeight="1">
      <c r="C849" s="2" t="s">
        <v>344</v>
      </c>
      <c r="J849" s="1410" t="s">
        <v>345</v>
      </c>
      <c r="K849" s="1411"/>
      <c r="L849" s="1411"/>
      <c r="M849" s="1411"/>
      <c r="N849" s="1411"/>
      <c r="O849" s="1411"/>
      <c r="P849" s="1411"/>
      <c r="Q849" s="1411"/>
      <c r="R849" s="1411"/>
      <c r="S849" s="1411"/>
      <c r="T849" s="1411"/>
      <c r="U849" s="1411"/>
      <c r="V849" s="1413"/>
      <c r="W849" s="1477">
        <v>95000</v>
      </c>
      <c r="X849" s="1340"/>
      <c r="Y849" s="1340"/>
      <c r="Z849" s="1340"/>
      <c r="AA849" s="1340"/>
      <c r="AB849" s="1340"/>
      <c r="AC849" s="1341"/>
      <c r="AD849" s="533"/>
      <c r="AZ849" s="30"/>
      <c r="BA849" s="30"/>
      <c r="BB849" s="14"/>
      <c r="BC849" s="14"/>
    </row>
    <row r="850" spans="3:55" ht="13" customHeight="1">
      <c r="AD850" s="533"/>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57"/>
      <c r="X851" s="1657"/>
      <c r="Y851" s="1657"/>
      <c r="Z851" s="1657"/>
      <c r="AA851" s="1657"/>
      <c r="AB851" s="1657"/>
      <c r="AC851" s="1657"/>
      <c r="AZ851" s="1624"/>
      <c r="BA851" s="1624"/>
      <c r="BB851" s="14"/>
      <c r="BC851" s="14"/>
    </row>
    <row r="852" spans="3:55" ht="13" customHeight="1">
      <c r="J852" s="45" t="s">
        <v>351</v>
      </c>
      <c r="K852" s="5"/>
      <c r="L852" s="5"/>
      <c r="M852" s="5"/>
      <c r="N852" s="5"/>
      <c r="O852" s="5"/>
      <c r="P852" s="5"/>
      <c r="Q852" s="5"/>
      <c r="R852" s="5"/>
      <c r="S852" s="5"/>
      <c r="T852" s="5"/>
      <c r="U852" s="5"/>
      <c r="V852" s="46"/>
      <c r="W852" s="1657"/>
      <c r="X852" s="1657"/>
      <c r="Y852" s="1657"/>
      <c r="Z852" s="1657"/>
      <c r="AA852" s="1657"/>
      <c r="AB852" s="1657"/>
      <c r="AC852" s="1657"/>
      <c r="AZ852" s="30"/>
      <c r="BA852" s="30"/>
      <c r="BB852" s="14"/>
      <c r="BC852" s="14"/>
    </row>
    <row r="853" spans="3:55" ht="13" customHeight="1">
      <c r="J853" s="45" t="s">
        <v>459</v>
      </c>
      <c r="K853" s="5"/>
      <c r="L853" s="5"/>
      <c r="M853" s="5"/>
      <c r="N853" s="5"/>
      <c r="O853" s="5"/>
      <c r="P853" s="5"/>
      <c r="Q853" s="5"/>
      <c r="R853" s="5"/>
      <c r="S853" s="5"/>
      <c r="T853" s="5"/>
      <c r="U853" s="5"/>
      <c r="V853" s="46"/>
      <c r="W853" s="1657">
        <v>141000</v>
      </c>
      <c r="X853" s="1657"/>
      <c r="Y853" s="1657"/>
      <c r="Z853" s="1657"/>
      <c r="AA853" s="1657"/>
      <c r="AB853" s="1657"/>
      <c r="AC853" s="1657"/>
      <c r="AZ853" s="30"/>
      <c r="BA853" s="30"/>
      <c r="BB853" s="14"/>
      <c r="BC853" s="14"/>
    </row>
    <row r="854" spans="3:55" ht="13" customHeight="1">
      <c r="J854" s="62" t="s">
        <v>620</v>
      </c>
      <c r="K854" s="5"/>
      <c r="L854" s="5"/>
      <c r="M854" s="5"/>
      <c r="N854" s="5"/>
      <c r="O854" s="5"/>
      <c r="P854" s="5"/>
      <c r="Q854" s="5"/>
      <c r="R854" s="5"/>
      <c r="S854" s="5"/>
      <c r="T854" s="5"/>
      <c r="U854" s="5"/>
      <c r="V854" s="46"/>
      <c r="W854" s="1657">
        <v>97000</v>
      </c>
      <c r="X854" s="1657"/>
      <c r="Y854" s="1657"/>
      <c r="Z854" s="1657"/>
      <c r="AA854" s="1657"/>
      <c r="AB854" s="1657"/>
      <c r="AC854" s="1657"/>
      <c r="AZ854" s="34"/>
      <c r="BA854" s="34"/>
      <c r="BB854" s="34"/>
      <c r="BC854" s="34"/>
    </row>
    <row r="855" spans="3:55" ht="13" customHeight="1">
      <c r="J855" s="63"/>
      <c r="K855" s="48"/>
      <c r="L855" s="48"/>
      <c r="M855" s="48"/>
      <c r="N855" s="48"/>
      <c r="O855" s="48"/>
      <c r="P855" s="48"/>
      <c r="Q855" s="48"/>
      <c r="R855" s="48"/>
      <c r="S855" s="48"/>
      <c r="T855" s="48"/>
      <c r="U855" s="48"/>
      <c r="V855" s="54" t="s">
        <v>272</v>
      </c>
      <c r="W855" s="1658">
        <f>SUM(W851:W854)</f>
        <v>238000</v>
      </c>
      <c r="X855" s="1658"/>
      <c r="Y855" s="1658"/>
      <c r="Z855" s="1658"/>
      <c r="AA855" s="1658"/>
      <c r="AB855" s="1658"/>
      <c r="AC855" s="1658"/>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54">
        <v>86000</v>
      </c>
      <c r="X857" s="1655"/>
      <c r="Y857" s="1655"/>
      <c r="Z857" s="1655"/>
      <c r="AA857" s="1655"/>
      <c r="AB857" s="1655"/>
      <c r="AC857" s="1656"/>
      <c r="AD857" s="528"/>
      <c r="AZ857" s="34"/>
      <c r="BA857" s="34"/>
      <c r="BB857" s="34"/>
      <c r="BC857" s="34"/>
    </row>
    <row r="858" spans="3:55" ht="13" customHeight="1">
      <c r="C858" s="2" t="s">
        <v>347</v>
      </c>
      <c r="J858" s="121" t="s">
        <v>1654</v>
      </c>
      <c r="K858" s="5"/>
      <c r="L858" s="5"/>
      <c r="M858" s="5"/>
      <c r="N858" s="5"/>
      <c r="O858" s="5"/>
      <c r="P858" s="5"/>
      <c r="Q858" s="5"/>
      <c r="R858" s="5"/>
      <c r="S858" s="5"/>
      <c r="T858" s="1640">
        <v>2</v>
      </c>
      <c r="U858" s="1603"/>
      <c r="V858" s="1641"/>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54">
        <v>44000</v>
      </c>
      <c r="X859" s="1655"/>
      <c r="Y859" s="1655"/>
      <c r="Z859" s="1655"/>
      <c r="AA859" s="1655"/>
      <c r="AB859" s="1655"/>
      <c r="AC859" s="1656"/>
      <c r="AD859" s="533"/>
      <c r="AZ859" s="34"/>
      <c r="BA859" s="34"/>
      <c r="BB859" s="34"/>
      <c r="BC859" s="34"/>
    </row>
    <row r="860" spans="3:55" ht="13" customHeight="1">
      <c r="C860" s="2"/>
      <c r="J860" s="121" t="s">
        <v>1655</v>
      </c>
      <c r="K860" s="5"/>
      <c r="L860" s="5"/>
      <c r="M860" s="5"/>
      <c r="N860" s="5"/>
      <c r="O860" s="5"/>
      <c r="P860" s="5"/>
      <c r="Q860" s="5"/>
      <c r="R860" s="5"/>
      <c r="S860" s="5"/>
      <c r="T860" s="1640">
        <v>1</v>
      </c>
      <c r="U860" s="1603"/>
      <c r="V860" s="1641"/>
      <c r="W860" s="874"/>
      <c r="X860" s="875"/>
      <c r="Y860" s="875"/>
      <c r="Z860" s="875"/>
      <c r="AA860" s="875"/>
      <c r="AB860" s="875"/>
      <c r="AC860" s="876"/>
      <c r="AD860" s="533"/>
      <c r="AZ860" s="34"/>
      <c r="BA860" s="34"/>
      <c r="BB860" s="34"/>
      <c r="BC860" s="34"/>
    </row>
    <row r="861" spans="3:55" ht="13" customHeight="1">
      <c r="J861" s="45" t="s">
        <v>170</v>
      </c>
      <c r="K861" s="5"/>
      <c r="L861" s="5"/>
      <c r="M861" s="1646" t="s">
        <v>334</v>
      </c>
      <c r="N861" s="1647"/>
      <c r="O861" s="1647"/>
      <c r="P861" s="1647"/>
      <c r="Q861" s="1647"/>
      <c r="R861" s="1647"/>
      <c r="S861" s="1647"/>
      <c r="T861" s="1647"/>
      <c r="U861" s="1647"/>
      <c r="V861" s="1648"/>
      <c r="W861" s="1654"/>
      <c r="X861" s="1655"/>
      <c r="Y861" s="1655"/>
      <c r="Z861" s="1655"/>
      <c r="AA861" s="1655"/>
      <c r="AB861" s="1655"/>
      <c r="AC861" s="1656"/>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643">
        <f>SUM(W857:W861)</f>
        <v>130000</v>
      </c>
      <c r="X862" s="1644"/>
      <c r="Y862" s="1644"/>
      <c r="Z862" s="1644"/>
      <c r="AA862" s="1644"/>
      <c r="AB862" s="1644"/>
      <c r="AC862" s="1645"/>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54">
        <v>64800</v>
      </c>
      <c r="X863" s="1655"/>
      <c r="Y863" s="1655"/>
      <c r="Z863" s="1655"/>
      <c r="AA863" s="1655"/>
      <c r="AB863" s="1655"/>
      <c r="AC863" s="1656"/>
      <c r="AU863" s="14"/>
      <c r="AZ863" s="34"/>
      <c r="BA863" s="34"/>
      <c r="BB863" s="34"/>
      <c r="BC863" s="34"/>
    </row>
    <row r="864" spans="3:55" ht="13" customHeight="1">
      <c r="J864" s="512"/>
      <c r="AU864" s="14"/>
      <c r="AZ864" s="34"/>
      <c r="BA864" s="34"/>
      <c r="BB864" s="34"/>
      <c r="BC864" s="34"/>
    </row>
    <row r="865" spans="3:55" ht="13" customHeight="1">
      <c r="C865" s="2" t="s">
        <v>390</v>
      </c>
      <c r="J865" s="45" t="s">
        <v>617</v>
      </c>
      <c r="K865" s="5"/>
      <c r="L865" s="5"/>
      <c r="M865" s="5"/>
      <c r="N865" s="5"/>
      <c r="O865" s="5"/>
      <c r="P865" s="5"/>
      <c r="Q865" s="5"/>
      <c r="R865" s="5"/>
      <c r="S865" s="5"/>
      <c r="T865" s="5"/>
      <c r="U865" s="5"/>
      <c r="V865" s="46"/>
      <c r="W865" s="1642">
        <v>27000</v>
      </c>
      <c r="X865" s="1642"/>
      <c r="Y865" s="1642"/>
      <c r="Z865" s="1642"/>
      <c r="AA865" s="1642"/>
      <c r="AB865" s="1642"/>
      <c r="AC865" s="1642"/>
      <c r="AU865" s="14"/>
      <c r="AZ865" s="34"/>
      <c r="BA865" s="34"/>
      <c r="BB865" s="34"/>
      <c r="BC865" s="34"/>
    </row>
    <row r="866" spans="3:55" ht="13" customHeight="1">
      <c r="J866" s="45" t="s">
        <v>522</v>
      </c>
      <c r="K866" s="5"/>
      <c r="L866" s="5"/>
      <c r="M866" s="5"/>
      <c r="N866" s="5"/>
      <c r="O866" s="5"/>
      <c r="P866" s="5"/>
      <c r="Q866" s="5"/>
      <c r="R866" s="5"/>
      <c r="S866" s="5"/>
      <c r="T866" s="5"/>
      <c r="U866" s="5"/>
      <c r="V866" s="46"/>
      <c r="W866" s="1642">
        <v>51700</v>
      </c>
      <c r="X866" s="1642"/>
      <c r="Y866" s="1642"/>
      <c r="Z866" s="1642"/>
      <c r="AA866" s="1642"/>
      <c r="AB866" s="1642"/>
      <c r="AC866" s="1642"/>
      <c r="AU866" s="4"/>
      <c r="AZ866" s="34"/>
      <c r="BA866" s="34"/>
      <c r="BB866" s="34"/>
      <c r="BC866" s="34"/>
    </row>
    <row r="867" spans="3:55" ht="13" customHeight="1">
      <c r="J867" s="45" t="s">
        <v>521</v>
      </c>
      <c r="K867" s="5"/>
      <c r="L867" s="5"/>
      <c r="M867" s="5"/>
      <c r="N867" s="5"/>
      <c r="O867" s="5"/>
      <c r="P867" s="5"/>
      <c r="Q867" s="5"/>
      <c r="R867" s="5"/>
      <c r="S867" s="5"/>
      <c r="T867" s="5"/>
      <c r="U867" s="5"/>
      <c r="V867" s="46"/>
      <c r="W867" s="1642">
        <v>47000</v>
      </c>
      <c r="X867" s="1642"/>
      <c r="Y867" s="1642"/>
      <c r="Z867" s="1642"/>
      <c r="AA867" s="1642"/>
      <c r="AB867" s="1642"/>
      <c r="AC867" s="1642"/>
      <c r="AU867" s="4"/>
      <c r="AZ867" s="34"/>
      <c r="BA867" s="34"/>
      <c r="BB867" s="34"/>
      <c r="BC867" s="34"/>
    </row>
    <row r="868" spans="3:55" ht="13" customHeight="1">
      <c r="J868" s="45" t="s">
        <v>520</v>
      </c>
      <c r="K868" s="5"/>
      <c r="L868" s="5"/>
      <c r="M868" s="5"/>
      <c r="N868" s="5"/>
      <c r="O868" s="5"/>
      <c r="P868" s="5"/>
      <c r="Q868" s="5"/>
      <c r="R868" s="5"/>
      <c r="S868" s="5"/>
      <c r="T868" s="5"/>
      <c r="U868" s="5"/>
      <c r="V868" s="46"/>
      <c r="W868" s="1642">
        <v>8000</v>
      </c>
      <c r="X868" s="1642"/>
      <c r="Y868" s="1642"/>
      <c r="Z868" s="1642"/>
      <c r="AA868" s="1642"/>
      <c r="AB868" s="1642"/>
      <c r="AC868" s="1642"/>
      <c r="AU868" s="4"/>
      <c r="AZ868" s="34"/>
      <c r="BA868" s="34"/>
      <c r="BB868" s="34"/>
      <c r="BC868" s="34"/>
    </row>
    <row r="869" spans="3:55" ht="13" customHeight="1">
      <c r="J869" s="45" t="s">
        <v>519</v>
      </c>
      <c r="K869" s="5"/>
      <c r="L869" s="5"/>
      <c r="M869" s="5"/>
      <c r="N869" s="5"/>
      <c r="O869" s="5"/>
      <c r="P869" s="5"/>
      <c r="Q869" s="5"/>
      <c r="R869" s="5"/>
      <c r="S869" s="5"/>
      <c r="T869" s="5"/>
      <c r="U869" s="5"/>
      <c r="V869" s="46"/>
      <c r="W869" s="1642">
        <v>33900</v>
      </c>
      <c r="X869" s="1642"/>
      <c r="Y869" s="1642"/>
      <c r="Z869" s="1642"/>
      <c r="AA869" s="1642"/>
      <c r="AB869" s="1642"/>
      <c r="AC869" s="1642"/>
      <c r="AU869" s="4"/>
      <c r="AZ869" s="34"/>
      <c r="BA869" s="34"/>
      <c r="BB869" s="34"/>
      <c r="BC869" s="34"/>
    </row>
    <row r="870" spans="3:55" ht="13" customHeight="1">
      <c r="J870" s="45" t="s">
        <v>518</v>
      </c>
      <c r="K870" s="5"/>
      <c r="L870" s="5"/>
      <c r="M870" s="5"/>
      <c r="N870" s="5"/>
      <c r="O870" s="5"/>
      <c r="P870" s="5"/>
      <c r="Q870" s="5"/>
      <c r="R870" s="5"/>
      <c r="S870" s="5"/>
      <c r="T870" s="5"/>
      <c r="U870" s="5"/>
      <c r="V870" s="46"/>
      <c r="W870" s="1642">
        <v>9000</v>
      </c>
      <c r="X870" s="1642"/>
      <c r="Y870" s="1642"/>
      <c r="Z870" s="1642"/>
      <c r="AA870" s="1642"/>
      <c r="AB870" s="1642"/>
      <c r="AC870" s="1642"/>
      <c r="AU870" s="4"/>
      <c r="AZ870" s="34"/>
      <c r="BA870" s="34"/>
      <c r="BB870" s="34"/>
      <c r="BC870" s="34"/>
    </row>
    <row r="871" spans="3:55" ht="13" customHeight="1">
      <c r="J871" s="45" t="s">
        <v>170</v>
      </c>
      <c r="K871" s="5"/>
      <c r="L871" s="5"/>
      <c r="M871" s="1646" t="s">
        <v>2725</v>
      </c>
      <c r="N871" s="1647"/>
      <c r="O871" s="1647"/>
      <c r="P871" s="1647"/>
      <c r="Q871" s="1647"/>
      <c r="R871" s="1647"/>
      <c r="S871" s="1647"/>
      <c r="T871" s="1647"/>
      <c r="U871" s="1647"/>
      <c r="V871" s="1648"/>
      <c r="W871" s="1642">
        <v>13800</v>
      </c>
      <c r="X871" s="1642"/>
      <c r="Y871" s="1642"/>
      <c r="Z871" s="1642"/>
      <c r="AA871" s="1642"/>
      <c r="AB871" s="1642"/>
      <c r="AC871" s="164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5">
        <f>SUM(W865:W871)</f>
        <v>190400</v>
      </c>
      <c r="X872" s="1605"/>
      <c r="Y872" s="1605"/>
      <c r="Z872" s="1605"/>
      <c r="AA872" s="1605"/>
      <c r="AB872" s="1605"/>
      <c r="AC872" s="1605"/>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170</v>
      </c>
      <c r="K874" s="5"/>
      <c r="L874" s="5"/>
      <c r="M874" s="1646" t="s">
        <v>2726</v>
      </c>
      <c r="N874" s="1647"/>
      <c r="O874" s="1647"/>
      <c r="P874" s="1647"/>
      <c r="Q874" s="1647"/>
      <c r="R874" s="1647"/>
      <c r="S874" s="1647"/>
      <c r="T874" s="1647"/>
      <c r="U874" s="1647"/>
      <c r="V874" s="1648"/>
      <c r="W874" s="1477">
        <v>14700</v>
      </c>
      <c r="X874" s="1340"/>
      <c r="Y874" s="1340"/>
      <c r="Z874" s="1340"/>
      <c r="AA874" s="1340"/>
      <c r="AB874" s="1340"/>
      <c r="AC874" s="1341"/>
      <c r="AD874" s="533"/>
      <c r="AV874" s="14"/>
      <c r="AW874" s="14"/>
      <c r="AX874" s="14"/>
      <c r="AY874" s="14"/>
      <c r="AZ874" s="34"/>
      <c r="BA874" s="34"/>
      <c r="BB874" s="34"/>
      <c r="BC874" s="34"/>
    </row>
    <row r="875" spans="3:55" ht="13" customHeight="1">
      <c r="C875" s="2" t="s">
        <v>1243</v>
      </c>
      <c r="J875" s="45" t="s">
        <v>170</v>
      </c>
      <c r="K875" s="5"/>
      <c r="L875" s="5"/>
      <c r="M875" s="1646" t="s">
        <v>334</v>
      </c>
      <c r="N875" s="1647"/>
      <c r="O875" s="1647"/>
      <c r="P875" s="1647"/>
      <c r="Q875" s="1647"/>
      <c r="R875" s="1647"/>
      <c r="S875" s="1647"/>
      <c r="T875" s="1647"/>
      <c r="U875" s="1647"/>
      <c r="V875" s="1648"/>
      <c r="W875" s="1477"/>
      <c r="X875" s="1340"/>
      <c r="Y875" s="1340"/>
      <c r="Z875" s="1340"/>
      <c r="AA875" s="1340"/>
      <c r="AB875" s="1340"/>
      <c r="AC875" s="1341"/>
      <c r="AD875" s="533"/>
      <c r="AV875" s="14"/>
      <c r="AW875" s="14"/>
      <c r="AX875" s="14"/>
      <c r="AY875" s="14"/>
      <c r="AZ875" s="34"/>
      <c r="BA875" s="34"/>
      <c r="BB875" s="34"/>
      <c r="BC875" s="34"/>
    </row>
    <row r="876" spans="3:55" ht="13" customHeight="1">
      <c r="J876" s="45" t="s">
        <v>170</v>
      </c>
      <c r="K876" s="5"/>
      <c r="L876" s="5"/>
      <c r="M876" s="1646" t="s">
        <v>334</v>
      </c>
      <c r="N876" s="1647"/>
      <c r="O876" s="1647"/>
      <c r="P876" s="1647"/>
      <c r="Q876" s="1647"/>
      <c r="R876" s="1647"/>
      <c r="S876" s="1647"/>
      <c r="T876" s="1647"/>
      <c r="U876" s="1647"/>
      <c r="V876" s="1648"/>
      <c r="W876" s="1477"/>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6" t="s">
        <v>334</v>
      </c>
      <c r="N877" s="1647"/>
      <c r="O877" s="1647"/>
      <c r="P877" s="1647"/>
      <c r="Q877" s="1647"/>
      <c r="R877" s="1647"/>
      <c r="S877" s="1647"/>
      <c r="T877" s="1647"/>
      <c r="U877" s="1647"/>
      <c r="V877" s="1648"/>
      <c r="W877" s="1477"/>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6" t="s">
        <v>334</v>
      </c>
      <c r="N878" s="1647"/>
      <c r="O878" s="1647"/>
      <c r="P878" s="1647"/>
      <c r="Q878" s="1647"/>
      <c r="R878" s="1647"/>
      <c r="S878" s="1647"/>
      <c r="T878" s="1647"/>
      <c r="U878" s="1647"/>
      <c r="V878" s="1648"/>
      <c r="W878" s="1477"/>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4">
        <f>SUM(W874:W878)</f>
        <v>14700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784000</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9">
        <f>O797+O777+G753</f>
        <v>98</v>
      </c>
      <c r="AD884" s="1649"/>
      <c r="AE884" s="1649"/>
      <c r="AF884" s="1649"/>
      <c r="AG884" s="1649"/>
      <c r="AH884" s="1650"/>
      <c r="AL884" s="4"/>
      <c r="AM884" s="4"/>
      <c r="AN884" s="4"/>
      <c r="AO884" s="4"/>
      <c r="AP884" s="4"/>
      <c r="AQ884" s="4"/>
      <c r="AR884" s="4"/>
      <c r="AS884" s="4"/>
      <c r="AT884" s="4"/>
      <c r="AZ884" s="34"/>
      <c r="BA884" s="34"/>
      <c r="BB884" s="34"/>
      <c r="BC884" s="34"/>
    </row>
    <row r="885" spans="3:55" ht="13" customHeight="1">
      <c r="C885" s="41"/>
      <c r="D885" s="42"/>
      <c r="E885" s="1713" t="s">
        <v>32</v>
      </c>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c r="AA885" s="1713"/>
      <c r="AB885" s="1714"/>
      <c r="AC885" s="1605">
        <f>IF(ISERROR((ROUNDDOWN(AC883/AC884,0))),0,(ROUNDDOWN(AC883/AC884,0)))</f>
        <v>8000</v>
      </c>
      <c r="AD885" s="1605"/>
      <c r="AE885" s="1605"/>
      <c r="AF885" s="1605"/>
      <c r="AG885" s="1605"/>
      <c r="AH885" s="1605"/>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1">
        <v>1063963</v>
      </c>
      <c r="AD886" s="1652"/>
      <c r="AE886" s="1652"/>
      <c r="AF886" s="1652"/>
      <c r="AG886" s="1652"/>
      <c r="AH886" s="1652"/>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41"/>
      <c r="AD887" s="1642"/>
      <c r="AE887" s="1642"/>
      <c r="AF887" s="1642"/>
      <c r="AG887" s="1642"/>
      <c r="AH887" s="164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24500</v>
      </c>
      <c r="AD888" s="1340"/>
      <c r="AE888" s="1340"/>
      <c r="AF888" s="1340"/>
      <c r="AG888" s="1340"/>
      <c r="AH888" s="1341"/>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v>24500</v>
      </c>
      <c r="AD889" s="1340"/>
      <c r="AE889" s="1340"/>
      <c r="AF889" s="1340"/>
      <c r="AG889" s="1340"/>
      <c r="AH889" s="1341"/>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2">
        <v>15435</v>
      </c>
      <c r="AD890" s="1493"/>
      <c r="AE890" s="1493"/>
      <c r="AF890" s="1493"/>
      <c r="AG890" s="1493"/>
      <c r="AH890" s="1494"/>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c r="AD891" s="1340"/>
      <c r="AE891" s="1340"/>
      <c r="AF891" s="1340"/>
      <c r="AG891" s="1340"/>
      <c r="AH891" s="1341"/>
      <c r="AZ891" s="34"/>
      <c r="BA891" s="34"/>
      <c r="BB891" s="34"/>
      <c r="BC891" s="34"/>
    </row>
    <row r="892" spans="3:55" ht="13" hidden="1" customHeight="1">
      <c r="C892" s="1410" t="s">
        <v>2232</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40"/>
      <c r="AD892" s="1340"/>
      <c r="AE892" s="1340"/>
      <c r="AF892" s="1340"/>
      <c r="AG892" s="1340"/>
      <c r="AH892" s="1341"/>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40"/>
      <c r="AD893" s="1340"/>
      <c r="AE893" s="1340"/>
      <c r="AF893" s="1340"/>
      <c r="AG893" s="1340"/>
      <c r="AH893" s="1341"/>
      <c r="AZ893" s="34"/>
      <c r="BA893" s="34"/>
      <c r="BB893" s="34"/>
      <c r="BC893" s="34"/>
    </row>
    <row r="894" spans="3:55" ht="13" customHeight="1">
      <c r="C894" s="1670" t="s">
        <v>956</v>
      </c>
      <c r="D894" s="1671"/>
      <c r="E894" s="1671"/>
      <c r="F894" s="1671"/>
      <c r="G894" s="1671"/>
      <c r="H894" s="1671"/>
      <c r="I894" s="1671"/>
      <c r="J894" s="1671"/>
      <c r="K894" s="1671"/>
      <c r="L894" s="1671"/>
      <c r="M894" s="1671"/>
      <c r="N894" s="1671"/>
      <c r="O894" s="1671"/>
      <c r="P894" s="1671"/>
      <c r="Q894" s="1671"/>
      <c r="R894" s="1671"/>
      <c r="S894" s="1671"/>
      <c r="T894" s="1671"/>
      <c r="U894" s="1671"/>
      <c r="V894" s="1671"/>
      <c r="W894" s="1671"/>
      <c r="X894" s="1671"/>
      <c r="Y894" s="1671"/>
      <c r="Z894" s="1671"/>
      <c r="AA894" s="1671"/>
      <c r="AB894" s="1672"/>
      <c r="AC894" s="1642"/>
      <c r="AD894" s="1642"/>
      <c r="AE894" s="1642"/>
      <c r="AF894" s="1642"/>
      <c r="AG894" s="1642"/>
      <c r="AH894" s="1642"/>
      <c r="AZ894" s="34"/>
      <c r="BA894" s="34"/>
      <c r="BB894" s="34"/>
      <c r="BC894" s="34"/>
    </row>
    <row r="895" spans="3:55" ht="13" customHeight="1">
      <c r="C895" s="1670" t="s">
        <v>956</v>
      </c>
      <c r="D895" s="1671"/>
      <c r="E895" s="1671"/>
      <c r="F895" s="1671"/>
      <c r="G895" s="1671"/>
      <c r="H895" s="1671"/>
      <c r="I895" s="1671"/>
      <c r="J895" s="1671"/>
      <c r="K895" s="1671"/>
      <c r="L895" s="1671"/>
      <c r="M895" s="1671"/>
      <c r="N895" s="1671"/>
      <c r="O895" s="1671"/>
      <c r="P895" s="1671"/>
      <c r="Q895" s="1671"/>
      <c r="R895" s="1671"/>
      <c r="S895" s="1671"/>
      <c r="T895" s="1671"/>
      <c r="U895" s="1671"/>
      <c r="V895" s="1671"/>
      <c r="W895" s="1671"/>
      <c r="X895" s="1671"/>
      <c r="Y895" s="1671"/>
      <c r="Z895" s="1671"/>
      <c r="AA895" s="1671"/>
      <c r="AB895" s="1672"/>
      <c r="AC895" s="1642"/>
      <c r="AD895" s="1642"/>
      <c r="AE895" s="1642"/>
      <c r="AF895" s="1642"/>
      <c r="AG895" s="1642"/>
      <c r="AH895" s="164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7"/>
      <c r="AA899" s="1340"/>
      <c r="AB899" s="1340"/>
      <c r="AC899" s="1340"/>
      <c r="AD899" s="1340"/>
      <c r="AE899" s="1341"/>
      <c r="AF899" s="533"/>
      <c r="AZ899" s="34"/>
      <c r="BB899" s="30"/>
      <c r="BC899" s="816"/>
      <c r="BD899" s="1639"/>
      <c r="BE899" s="1639"/>
      <c r="BF899" s="14"/>
    </row>
    <row r="900" spans="1:58" ht="13" customHeight="1">
      <c r="H900" s="121" t="s">
        <v>239</v>
      </c>
      <c r="I900" s="5"/>
      <c r="J900" s="5"/>
      <c r="K900" s="5"/>
      <c r="L900" s="5"/>
      <c r="M900" s="5"/>
      <c r="N900" s="5"/>
      <c r="O900" s="5"/>
      <c r="P900" s="5"/>
      <c r="Q900" s="5"/>
      <c r="R900" s="5"/>
      <c r="S900" s="5"/>
      <c r="T900" s="5"/>
      <c r="U900" s="5"/>
      <c r="V900" s="5"/>
      <c r="W900" s="5"/>
      <c r="X900" s="5"/>
      <c r="Y900" s="5"/>
      <c r="Z900" s="1477"/>
      <c r="AA900" s="1340"/>
      <c r="AB900" s="1340"/>
      <c r="AC900" s="1340"/>
      <c r="AD900" s="1340"/>
      <c r="AE900" s="1341"/>
      <c r="AZ900" s="34"/>
      <c r="BB900" s="30"/>
      <c r="BC900" s="816"/>
      <c r="BD900" s="1639"/>
      <c r="BE900" s="1639"/>
      <c r="BF900" s="14"/>
    </row>
    <row r="901" spans="1:58" ht="13" customHeight="1">
      <c r="H901" s="121" t="s">
        <v>240</v>
      </c>
      <c r="I901" s="5"/>
      <c r="J901" s="5"/>
      <c r="K901" s="5"/>
      <c r="L901" s="5"/>
      <c r="M901" s="5"/>
      <c r="N901" s="5"/>
      <c r="O901" s="5"/>
      <c r="P901" s="5"/>
      <c r="Q901" s="5"/>
      <c r="R901" s="5"/>
      <c r="S901" s="5"/>
      <c r="T901" s="5"/>
      <c r="U901" s="5"/>
      <c r="V901" s="5"/>
      <c r="W901" s="5"/>
      <c r="X901" s="5"/>
      <c r="Y901" s="5"/>
      <c r="Z901" s="1477"/>
      <c r="AA901" s="1340"/>
      <c r="AB901" s="1340"/>
      <c r="AC901" s="1340"/>
      <c r="AD901" s="1340"/>
      <c r="AE901" s="1341"/>
      <c r="AZ901" s="34"/>
      <c r="BB901" s="30"/>
      <c r="BC901" s="816"/>
      <c r="BD901" s="1638"/>
      <c r="BE901" s="1638"/>
      <c r="BF901" s="14"/>
    </row>
    <row r="902" spans="1:58" ht="13"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38"/>
      <c r="BE902" s="1638"/>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8"/>
      <c r="BE905" s="1668"/>
      <c r="BF905" s="1668"/>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7"/>
      <c r="BE906" s="1667"/>
      <c r="BF906" s="1667"/>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3" customHeight="1">
      <c r="AZ909" s="34"/>
      <c r="BB909" s="30"/>
      <c r="BC909" s="816"/>
    </row>
    <row r="910" spans="1:58" ht="13"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9"/>
      <c r="BE910" s="1638"/>
      <c r="BF910" s="911"/>
    </row>
    <row r="911" spans="1:58" ht="13"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5" t="s">
        <v>792</v>
      </c>
      <c r="G915" s="1716"/>
      <c r="H915" s="1716"/>
      <c r="I915" s="1716"/>
      <c r="J915" s="1716"/>
      <c r="K915" s="1716"/>
      <c r="L915" s="1716"/>
      <c r="M915" s="1716"/>
      <c r="N915" s="1716"/>
      <c r="O915" s="1716"/>
      <c r="P915" s="1716"/>
      <c r="Q915" s="1716"/>
      <c r="R915" s="1716"/>
      <c r="S915" s="1716"/>
      <c r="T915" s="1717"/>
      <c r="U915" s="1758" t="s">
        <v>31</v>
      </c>
      <c r="V915" s="1690"/>
      <c r="W915" s="1690"/>
      <c r="X915" s="1690"/>
      <c r="Y915" s="1690"/>
      <c r="Z915" s="1690"/>
      <c r="AA915" s="43"/>
      <c r="AB915" s="105"/>
      <c r="AC915" s="105"/>
      <c r="AD915" s="105"/>
      <c r="AE915" s="105"/>
      <c r="AF915" s="106"/>
      <c r="AZ915" s="34"/>
      <c r="BA915" s="34"/>
      <c r="BB915" s="34"/>
      <c r="BC915" s="34"/>
    </row>
    <row r="916" spans="1:58" ht="13" customHeight="1">
      <c r="B916" s="2"/>
      <c r="F916" s="1759" t="s">
        <v>818</v>
      </c>
      <c r="G916" s="1760"/>
      <c r="H916" s="1760"/>
      <c r="I916" s="1760"/>
      <c r="J916" s="1760"/>
      <c r="K916" s="1760"/>
      <c r="L916" s="1760"/>
      <c r="M916" s="1760"/>
      <c r="N916" s="1760"/>
      <c r="O916" s="1760"/>
      <c r="P916" s="1760"/>
      <c r="Q916" s="1760"/>
      <c r="R916" s="1760"/>
      <c r="S916" s="1760"/>
      <c r="T916" s="1782"/>
      <c r="U916" s="1759"/>
      <c r="V916" s="1760"/>
      <c r="W916" s="1760"/>
      <c r="X916" s="1760"/>
      <c r="Y916" s="1760"/>
      <c r="Z916" s="1760"/>
      <c r="AA916" s="44"/>
      <c r="AB916" s="4"/>
      <c r="AC916" s="4"/>
      <c r="AD916" s="4"/>
      <c r="AE916" s="4"/>
      <c r="AF916" s="107"/>
      <c r="AZ916" s="34"/>
      <c r="BA916" s="34"/>
      <c r="BB916" s="34"/>
      <c r="BC916" s="34"/>
    </row>
    <row r="917" spans="1:58" ht="13" customHeight="1">
      <c r="B917" s="2"/>
      <c r="F917" s="1761"/>
      <c r="G917" s="1692"/>
      <c r="H917" s="1692"/>
      <c r="I917" s="1692"/>
      <c r="J917" s="1692"/>
      <c r="K917" s="1692"/>
      <c r="L917" s="1692"/>
      <c r="M917" s="1692"/>
      <c r="N917" s="1692"/>
      <c r="O917" s="1692"/>
      <c r="P917" s="1692"/>
      <c r="Q917" s="1692"/>
      <c r="R917" s="1692"/>
      <c r="S917" s="1692"/>
      <c r="T917" s="1693"/>
      <c r="U917" s="1761"/>
      <c r="V917" s="1692"/>
      <c r="W917" s="1692"/>
      <c r="X917" s="1692"/>
      <c r="Y917" s="1692"/>
      <c r="Z917" s="1692"/>
      <c r="AA917" s="108"/>
      <c r="AB917" s="1433" t="s">
        <v>391</v>
      </c>
      <c r="AC917" s="1433"/>
      <c r="AD917" s="1433"/>
      <c r="AE917" s="1433"/>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32" t="s">
        <v>545</v>
      </c>
      <c r="V918" s="1429"/>
      <c r="W918" s="1429"/>
      <c r="X918" s="1429"/>
      <c r="Y918" s="1429"/>
      <c r="Z918" s="1430"/>
      <c r="AA918" s="1636">
        <v>26250000</v>
      </c>
      <c r="AB918" s="1526"/>
      <c r="AC918" s="1526"/>
      <c r="AD918" s="1526"/>
      <c r="AE918" s="1526"/>
      <c r="AF918" s="1637"/>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32" t="s">
        <v>545</v>
      </c>
      <c r="V919" s="1429"/>
      <c r="W919" s="1429"/>
      <c r="X919" s="1429"/>
      <c r="Y919" s="1429"/>
      <c r="Z919" s="1430"/>
      <c r="AA919" s="1636">
        <v>8632472</v>
      </c>
      <c r="AB919" s="1526"/>
      <c r="AC919" s="1526"/>
      <c r="AD919" s="1526"/>
      <c r="AE919" s="1526"/>
      <c r="AF919" s="1637"/>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32" t="s">
        <v>591</v>
      </c>
      <c r="V920" s="1429"/>
      <c r="W920" s="1429"/>
      <c r="X920" s="1429"/>
      <c r="Y920" s="1429"/>
      <c r="Z920" s="1430"/>
      <c r="AA920" s="1636"/>
      <c r="AB920" s="1526"/>
      <c r="AC920" s="1526"/>
      <c r="AD920" s="1526"/>
      <c r="AE920" s="1526"/>
      <c r="AF920" s="1637"/>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32" t="s">
        <v>591</v>
      </c>
      <c r="V921" s="1429"/>
      <c r="W921" s="1429"/>
      <c r="X921" s="1429"/>
      <c r="Y921" s="1429"/>
      <c r="Z921" s="1430"/>
      <c r="AA921" s="1636"/>
      <c r="AB921" s="1526"/>
      <c r="AC921" s="1526"/>
      <c r="AD921" s="1526"/>
      <c r="AE921" s="1526"/>
      <c r="AF921" s="1637"/>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32" t="s">
        <v>591</v>
      </c>
      <c r="V922" s="1429"/>
      <c r="W922" s="1429"/>
      <c r="X922" s="1429"/>
      <c r="Y922" s="1429"/>
      <c r="Z922" s="1430"/>
      <c r="AA922" s="1636"/>
      <c r="AB922" s="1526"/>
      <c r="AC922" s="1526"/>
      <c r="AD922" s="1526"/>
      <c r="AE922" s="1526"/>
      <c r="AF922" s="1637"/>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32" t="s">
        <v>591</v>
      </c>
      <c r="V923" s="1429"/>
      <c r="W923" s="1429"/>
      <c r="X923" s="1429"/>
      <c r="Y923" s="1429"/>
      <c r="Z923" s="1430"/>
      <c r="AA923" s="1636"/>
      <c r="AB923" s="1526"/>
      <c r="AC923" s="1526"/>
      <c r="AD923" s="1526"/>
      <c r="AE923" s="1526"/>
      <c r="AF923" s="1637"/>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32" t="s">
        <v>591</v>
      </c>
      <c r="V924" s="1429"/>
      <c r="W924" s="1429"/>
      <c r="X924" s="1429"/>
      <c r="Y924" s="1429"/>
      <c r="Z924" s="1430"/>
      <c r="AA924" s="1636"/>
      <c r="AB924" s="1526"/>
      <c r="AC924" s="1526"/>
      <c r="AD924" s="1526"/>
      <c r="AE924" s="1526"/>
      <c r="AF924" s="1637"/>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32" t="s">
        <v>591</v>
      </c>
      <c r="V925" s="1429"/>
      <c r="W925" s="1429"/>
      <c r="X925" s="1429"/>
      <c r="Y925" s="1429"/>
      <c r="Z925" s="1430"/>
      <c r="AA925" s="1636"/>
      <c r="AB925" s="1526"/>
      <c r="AC925" s="1526"/>
      <c r="AD925" s="1526"/>
      <c r="AE925" s="1526"/>
      <c r="AF925" s="1637"/>
      <c r="AZ925" s="34"/>
      <c r="BA925" s="34"/>
      <c r="BB925" s="34"/>
      <c r="BC925" s="34"/>
    </row>
    <row r="926" spans="1:58" ht="13" customHeight="1">
      <c r="F926" s="1629" t="s">
        <v>2191</v>
      </c>
      <c r="G926" s="1630"/>
      <c r="H926" s="1630"/>
      <c r="I926" s="1630"/>
      <c r="J926" s="1630"/>
      <c r="K926" s="1630"/>
      <c r="L926" s="1630"/>
      <c r="M926" s="1630"/>
      <c r="N926" s="1630"/>
      <c r="O926" s="1630"/>
      <c r="P926" s="1630"/>
      <c r="Q926" s="1630"/>
      <c r="R926" s="1630"/>
      <c r="S926" s="1630"/>
      <c r="T926" s="1631"/>
      <c r="U926" s="1632" t="s">
        <v>591</v>
      </c>
      <c r="V926" s="1429"/>
      <c r="W926" s="1429"/>
      <c r="X926" s="1429"/>
      <c r="Y926" s="1429"/>
      <c r="Z926" s="1430"/>
      <c r="AA926" s="1636"/>
      <c r="AB926" s="1526"/>
      <c r="AC926" s="1526"/>
      <c r="AD926" s="1526"/>
      <c r="AE926" s="1526"/>
      <c r="AF926" s="1637"/>
      <c r="AZ926" s="34"/>
      <c r="BA926" s="34"/>
      <c r="BB926" s="34"/>
      <c r="BC926" s="34"/>
    </row>
    <row r="927" spans="1:58" ht="13" customHeight="1">
      <c r="F927" s="1629" t="s">
        <v>679</v>
      </c>
      <c r="G927" s="1630"/>
      <c r="H927" s="1630"/>
      <c r="I927" s="1630"/>
      <c r="J927" s="1630"/>
      <c r="K927" s="1630"/>
      <c r="L927" s="1630"/>
      <c r="M927" s="1630"/>
      <c r="N927" s="1630"/>
      <c r="O927" s="1630"/>
      <c r="P927" s="1630"/>
      <c r="Q927" s="1630"/>
      <c r="R927" s="1630"/>
      <c r="S927" s="1630"/>
      <c r="T927" s="1631"/>
      <c r="U927" s="1632" t="s">
        <v>591</v>
      </c>
      <c r="V927" s="1429"/>
      <c r="W927" s="1429"/>
      <c r="X927" s="1429"/>
      <c r="Y927" s="1429"/>
      <c r="Z927" s="1430"/>
      <c r="AA927" s="1636"/>
      <c r="AB927" s="1526"/>
      <c r="AC927" s="1526"/>
      <c r="AD927" s="1526"/>
      <c r="AE927" s="1526"/>
      <c r="AF927" s="1637"/>
      <c r="AU927" s="2"/>
      <c r="AZ927" s="34"/>
      <c r="BA927" s="34"/>
      <c r="BB927" s="34"/>
      <c r="BC927" s="34"/>
    </row>
    <row r="928" spans="1:58" ht="13" customHeight="1">
      <c r="F928" s="1629" t="s">
        <v>2192</v>
      </c>
      <c r="G928" s="1630"/>
      <c r="H928" s="1630"/>
      <c r="I928" s="1630"/>
      <c r="J928" s="1630"/>
      <c r="K928" s="1630"/>
      <c r="L928" s="1630"/>
      <c r="M928" s="1630"/>
      <c r="N928" s="1630"/>
      <c r="O928" s="1630"/>
      <c r="P928" s="1630"/>
      <c r="Q928" s="1630"/>
      <c r="R928" s="1630"/>
      <c r="S928" s="1630"/>
      <c r="T928" s="1631"/>
      <c r="U928" s="1632" t="s">
        <v>591</v>
      </c>
      <c r="V928" s="1429"/>
      <c r="W928" s="1429"/>
      <c r="X928" s="1429"/>
      <c r="Y928" s="1429"/>
      <c r="Z928" s="1430"/>
      <c r="AA928" s="1636"/>
      <c r="AB928" s="1526"/>
      <c r="AC928" s="1526"/>
      <c r="AD928" s="1526"/>
      <c r="AE928" s="1526"/>
      <c r="AF928" s="1637"/>
      <c r="AU928" s="2"/>
      <c r="AZ928" s="34"/>
      <c r="BA928" s="34"/>
      <c r="BB928" s="34"/>
      <c r="BC928" s="34"/>
    </row>
    <row r="929" spans="6:55" ht="13" customHeight="1">
      <c r="F929" s="1629" t="s">
        <v>2193</v>
      </c>
      <c r="G929" s="1630"/>
      <c r="H929" s="1630"/>
      <c r="I929" s="1630"/>
      <c r="J929" s="1630"/>
      <c r="K929" s="1630"/>
      <c r="L929" s="1630"/>
      <c r="M929" s="1630"/>
      <c r="N929" s="1630"/>
      <c r="O929" s="1630"/>
      <c r="P929" s="1630"/>
      <c r="Q929" s="1630"/>
      <c r="R929" s="1630"/>
      <c r="S929" s="1630"/>
      <c r="T929" s="1631"/>
      <c r="U929" s="1632" t="s">
        <v>591</v>
      </c>
      <c r="V929" s="1429"/>
      <c r="W929" s="1429"/>
      <c r="X929" s="1429"/>
      <c r="Y929" s="1429"/>
      <c r="Z929" s="1430"/>
      <c r="AA929" s="1636"/>
      <c r="AB929" s="1526"/>
      <c r="AC929" s="1526"/>
      <c r="AD929" s="1526"/>
      <c r="AE929" s="1526"/>
      <c r="AF929" s="1637"/>
      <c r="AU929" s="2"/>
      <c r="AZ929" s="34"/>
      <c r="BA929" s="34"/>
      <c r="BB929" s="34"/>
      <c r="BC929" s="34"/>
    </row>
    <row r="930" spans="6:55" ht="13" customHeight="1">
      <c r="F930" s="1629" t="s">
        <v>2194</v>
      </c>
      <c r="G930" s="1630"/>
      <c r="H930" s="1630"/>
      <c r="I930" s="1630"/>
      <c r="J930" s="1630"/>
      <c r="K930" s="1630"/>
      <c r="L930" s="1630"/>
      <c r="M930" s="1630"/>
      <c r="N930" s="1630"/>
      <c r="O930" s="1630"/>
      <c r="P930" s="1630"/>
      <c r="Q930" s="1630"/>
      <c r="R930" s="1630"/>
      <c r="S930" s="1630"/>
      <c r="T930" s="1631"/>
      <c r="U930" s="1632" t="s">
        <v>591</v>
      </c>
      <c r="V930" s="1429"/>
      <c r="W930" s="1429"/>
      <c r="X930" s="1429"/>
      <c r="Y930" s="1429"/>
      <c r="Z930" s="1430"/>
      <c r="AA930" s="1636"/>
      <c r="AB930" s="1526"/>
      <c r="AC930" s="1526"/>
      <c r="AD930" s="1526"/>
      <c r="AE930" s="1526"/>
      <c r="AF930" s="1637"/>
      <c r="AU930" s="2"/>
      <c r="AZ930" s="34"/>
      <c r="BA930" s="34"/>
      <c r="BB930" s="34"/>
      <c r="BC930" s="34"/>
    </row>
    <row r="931" spans="6:55" ht="13" customHeight="1">
      <c r="F931" s="1629" t="s">
        <v>2195</v>
      </c>
      <c r="G931" s="1630"/>
      <c r="H931" s="1630"/>
      <c r="I931" s="1630"/>
      <c r="J931" s="1630"/>
      <c r="K931" s="1630"/>
      <c r="L931" s="1630"/>
      <c r="M931" s="1630"/>
      <c r="N931" s="1630"/>
      <c r="O931" s="1630"/>
      <c r="P931" s="1630"/>
      <c r="Q931" s="1630"/>
      <c r="R931" s="1630"/>
      <c r="S931" s="1630"/>
      <c r="T931" s="1631"/>
      <c r="U931" s="1632" t="s">
        <v>591</v>
      </c>
      <c r="V931" s="1429"/>
      <c r="W931" s="1429"/>
      <c r="X931" s="1429"/>
      <c r="Y931" s="1429"/>
      <c r="Z931" s="1430"/>
      <c r="AA931" s="1636"/>
      <c r="AB931" s="1526"/>
      <c r="AC931" s="1526"/>
      <c r="AD931" s="1526"/>
      <c r="AE931" s="1526"/>
      <c r="AF931" s="1637"/>
      <c r="AU931" s="2"/>
      <c r="AZ931" s="34"/>
      <c r="BA931" s="34"/>
      <c r="BB931" s="34"/>
      <c r="BC931" s="34"/>
    </row>
    <row r="932" spans="6:55" ht="13" customHeight="1">
      <c r="F932" s="1629" t="s">
        <v>2196</v>
      </c>
      <c r="G932" s="1630"/>
      <c r="H932" s="1630"/>
      <c r="I932" s="1630"/>
      <c r="J932" s="1630"/>
      <c r="K932" s="1630"/>
      <c r="L932" s="1630"/>
      <c r="M932" s="1630"/>
      <c r="N932" s="1630"/>
      <c r="O932" s="1630"/>
      <c r="P932" s="1630"/>
      <c r="Q932" s="1630"/>
      <c r="R932" s="1630"/>
      <c r="S932" s="1630"/>
      <c r="T932" s="1631"/>
      <c r="U932" s="1632" t="s">
        <v>591</v>
      </c>
      <c r="V932" s="1429"/>
      <c r="W932" s="1429"/>
      <c r="X932" s="1429"/>
      <c r="Y932" s="1429"/>
      <c r="Z932" s="1430"/>
      <c r="AA932" s="1636"/>
      <c r="AB932" s="1526"/>
      <c r="AC932" s="1526"/>
      <c r="AD932" s="1526"/>
      <c r="AE932" s="1526"/>
      <c r="AF932" s="1637"/>
      <c r="AZ932" s="30"/>
      <c r="BA932" s="30"/>
    </row>
    <row r="933" spans="6:55" ht="13" customHeight="1">
      <c r="F933" s="178" t="s">
        <v>676</v>
      </c>
      <c r="G933" s="5"/>
      <c r="H933" s="5"/>
      <c r="I933" s="5"/>
      <c r="J933" s="5"/>
      <c r="K933" s="5"/>
      <c r="L933" s="5"/>
      <c r="M933" s="5"/>
      <c r="N933" s="5"/>
      <c r="O933" s="5"/>
      <c r="P933" s="5"/>
      <c r="Q933" s="5"/>
      <c r="R933" s="5"/>
      <c r="S933" s="5"/>
      <c r="T933" s="46"/>
      <c r="U933" s="1632" t="s">
        <v>591</v>
      </c>
      <c r="V933" s="1429"/>
      <c r="W933" s="1429"/>
      <c r="X933" s="1429"/>
      <c r="Y933" s="1429"/>
      <c r="Z933" s="1430"/>
      <c r="AA933" s="1636"/>
      <c r="AB933" s="1526"/>
      <c r="AC933" s="1526"/>
      <c r="AD933" s="1526"/>
      <c r="AE933" s="1526"/>
      <c r="AF933" s="1637"/>
    </row>
    <row r="934" spans="6:55" ht="13" customHeight="1">
      <c r="F934" s="121" t="s">
        <v>1276</v>
      </c>
      <c r="G934" s="5"/>
      <c r="H934" s="5"/>
      <c r="I934" s="5"/>
      <c r="J934" s="5"/>
      <c r="K934" s="5"/>
      <c r="L934" s="5"/>
      <c r="M934" s="5"/>
      <c r="N934" s="5"/>
      <c r="O934" s="5"/>
      <c r="P934" s="5"/>
      <c r="Q934" s="5"/>
      <c r="R934" s="5"/>
      <c r="S934" s="5"/>
      <c r="T934" s="46"/>
      <c r="U934" s="1632" t="s">
        <v>591</v>
      </c>
      <c r="V934" s="1429"/>
      <c r="W934" s="1429"/>
      <c r="X934" s="1429"/>
      <c r="Y934" s="1429"/>
      <c r="Z934" s="1430"/>
      <c r="AA934" s="1636"/>
      <c r="AB934" s="1526"/>
      <c r="AC934" s="1526"/>
      <c r="AD934" s="1526"/>
      <c r="AE934" s="1526"/>
      <c r="AF934" s="1637"/>
      <c r="AZ934" s="30"/>
      <c r="BA934" s="14"/>
    </row>
    <row r="935" spans="6:55" ht="13" customHeight="1">
      <c r="F935" s="66" t="s">
        <v>802</v>
      </c>
      <c r="G935" s="5"/>
      <c r="H935" s="5"/>
      <c r="I935" s="5"/>
      <c r="J935" s="5"/>
      <c r="K935" s="5"/>
      <c r="L935" s="5"/>
      <c r="M935" s="5"/>
      <c r="N935" s="5"/>
      <c r="O935" s="5"/>
      <c r="P935" s="5"/>
      <c r="Q935" s="5"/>
      <c r="R935" s="5"/>
      <c r="S935" s="5"/>
      <c r="T935" s="46"/>
      <c r="U935" s="1632" t="s">
        <v>591</v>
      </c>
      <c r="V935" s="1429"/>
      <c r="W935" s="1429"/>
      <c r="X935" s="1429"/>
      <c r="Y935" s="1429"/>
      <c r="Z935" s="1430"/>
      <c r="AA935" s="1636"/>
      <c r="AB935" s="1526"/>
      <c r="AC935" s="1526"/>
      <c r="AD935" s="1526"/>
      <c r="AE935" s="1526"/>
      <c r="AF935" s="1637"/>
      <c r="AZ935" s="30"/>
      <c r="BA935" s="14"/>
    </row>
    <row r="936" spans="6:55" ht="13" customHeight="1">
      <c r="F936" s="1633" t="s">
        <v>2200</v>
      </c>
      <c r="G936" s="1634"/>
      <c r="H936" s="1634"/>
      <c r="I936" s="1634"/>
      <c r="J936" s="1634"/>
      <c r="K936" s="1634"/>
      <c r="L936" s="1634"/>
      <c r="M936" s="1634"/>
      <c r="N936" s="1634"/>
      <c r="O936" s="1634"/>
      <c r="P936" s="1634"/>
      <c r="Q936" s="1634"/>
      <c r="R936" s="1634"/>
      <c r="S936" s="1634"/>
      <c r="T936" s="1635"/>
      <c r="U936" s="1632" t="s">
        <v>591</v>
      </c>
      <c r="V936" s="1429"/>
      <c r="W936" s="1429"/>
      <c r="X936" s="1429"/>
      <c r="Y936" s="1429"/>
      <c r="Z936" s="1430"/>
      <c r="AA936" s="1636"/>
      <c r="AB936" s="1526"/>
      <c r="AC936" s="1526"/>
      <c r="AD936" s="1526"/>
      <c r="AE936" s="1526"/>
      <c r="AF936" s="1637"/>
      <c r="AZ936" s="30"/>
      <c r="BA936" s="14"/>
    </row>
    <row r="937" spans="6:55" ht="13" customHeight="1">
      <c r="F937" s="1633" t="s">
        <v>2201</v>
      </c>
      <c r="G937" s="1634"/>
      <c r="H937" s="1634"/>
      <c r="I937" s="1634"/>
      <c r="J937" s="1634"/>
      <c r="K937" s="1634"/>
      <c r="L937" s="1634"/>
      <c r="M937" s="1634"/>
      <c r="N937" s="1634"/>
      <c r="O937" s="1634"/>
      <c r="P937" s="1634"/>
      <c r="Q937" s="1634"/>
      <c r="R937" s="1634"/>
      <c r="S937" s="1634"/>
      <c r="T937" s="1635"/>
      <c r="U937" s="1632" t="s">
        <v>591</v>
      </c>
      <c r="V937" s="1429"/>
      <c r="W937" s="1429"/>
      <c r="X937" s="1429"/>
      <c r="Y937" s="1429"/>
      <c r="Z937" s="1430"/>
      <c r="AA937" s="1636"/>
      <c r="AB937" s="1526"/>
      <c r="AC937" s="1526"/>
      <c r="AD937" s="1526"/>
      <c r="AE937" s="1526"/>
      <c r="AF937" s="1637"/>
      <c r="AZ937" s="30"/>
      <c r="BA937" s="30"/>
    </row>
    <row r="938" spans="6:55" ht="13" customHeight="1">
      <c r="F938" s="1629" t="s">
        <v>2197</v>
      </c>
      <c r="G938" s="1630"/>
      <c r="H938" s="1630"/>
      <c r="I938" s="1630"/>
      <c r="J938" s="1630"/>
      <c r="K938" s="1630"/>
      <c r="L938" s="1630"/>
      <c r="M938" s="1630"/>
      <c r="N938" s="1630"/>
      <c r="O938" s="1630"/>
      <c r="P938" s="1630"/>
      <c r="Q938" s="1630"/>
      <c r="R938" s="1630"/>
      <c r="S938" s="1630"/>
      <c r="T938" s="1631"/>
      <c r="U938" s="1632" t="s">
        <v>591</v>
      </c>
      <c r="V938" s="1429"/>
      <c r="W938" s="1429"/>
      <c r="X938" s="1429"/>
      <c r="Y938" s="1429"/>
      <c r="Z938" s="1430"/>
      <c r="AA938" s="1636"/>
      <c r="AB938" s="1526"/>
      <c r="AC938" s="1526"/>
      <c r="AD938" s="1526"/>
      <c r="AE938" s="1526"/>
      <c r="AF938" s="1637"/>
      <c r="AZ938" s="30"/>
      <c r="BA938" s="30"/>
    </row>
    <row r="939" spans="6:55" ht="13" customHeight="1">
      <c r="F939" s="1629" t="s">
        <v>2198</v>
      </c>
      <c r="G939" s="1630"/>
      <c r="H939" s="1630"/>
      <c r="I939" s="1630"/>
      <c r="J939" s="1630"/>
      <c r="K939" s="1630"/>
      <c r="L939" s="1630"/>
      <c r="M939" s="1630"/>
      <c r="N939" s="1630"/>
      <c r="O939" s="1630"/>
      <c r="P939" s="1630"/>
      <c r="Q939" s="1630"/>
      <c r="R939" s="1630"/>
      <c r="S939" s="1630"/>
      <c r="T939" s="1631"/>
      <c r="U939" s="1632" t="s">
        <v>591</v>
      </c>
      <c r="V939" s="1429"/>
      <c r="W939" s="1429"/>
      <c r="X939" s="1429"/>
      <c r="Y939" s="1429"/>
      <c r="Z939" s="1430"/>
      <c r="AA939" s="1636"/>
      <c r="AB939" s="1526"/>
      <c r="AC939" s="1526"/>
      <c r="AD939" s="1526"/>
      <c r="AE939" s="1526"/>
      <c r="AF939" s="1637"/>
      <c r="AZ939" s="30"/>
      <c r="BA939" s="30"/>
    </row>
    <row r="940" spans="6:55" ht="13" customHeight="1">
      <c r="F940" s="1629" t="s">
        <v>2199</v>
      </c>
      <c r="G940" s="1630"/>
      <c r="H940" s="1630"/>
      <c r="I940" s="1630"/>
      <c r="J940" s="1630"/>
      <c r="K940" s="1630"/>
      <c r="L940" s="1630"/>
      <c r="M940" s="1630"/>
      <c r="N940" s="1630"/>
      <c r="O940" s="1630"/>
      <c r="P940" s="1630"/>
      <c r="Q940" s="1630"/>
      <c r="R940" s="1630"/>
      <c r="S940" s="1630"/>
      <c r="T940" s="1631"/>
      <c r="U940" s="1632" t="s">
        <v>591</v>
      </c>
      <c r="V940" s="1429"/>
      <c r="W940" s="1429"/>
      <c r="X940" s="1429"/>
      <c r="Y940" s="1429"/>
      <c r="Z940" s="1430"/>
      <c r="AA940" s="1636"/>
      <c r="AB940" s="1526"/>
      <c r="AC940" s="1526"/>
      <c r="AD940" s="1526"/>
      <c r="AE940" s="1526"/>
      <c r="AF940" s="1637"/>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632" t="s">
        <v>591</v>
      </c>
      <c r="V941" s="1429"/>
      <c r="W941" s="1429"/>
      <c r="X941" s="1429"/>
      <c r="Y941" s="1429"/>
      <c r="Z941" s="1430"/>
      <c r="AA941" s="1636"/>
      <c r="AB941" s="1526"/>
      <c r="AC941" s="1526"/>
      <c r="AD941" s="1526"/>
      <c r="AE941" s="1526"/>
      <c r="AF941" s="1637"/>
      <c r="AZ941" s="34"/>
      <c r="BA941" s="34"/>
      <c r="BB941" s="14"/>
      <c r="BC941" s="14"/>
    </row>
    <row r="942" spans="6:55" ht="13" customHeight="1">
      <c r="F942" s="1633" t="s">
        <v>2202</v>
      </c>
      <c r="G942" s="1634"/>
      <c r="H942" s="1634"/>
      <c r="I942" s="1634"/>
      <c r="J942" s="1634"/>
      <c r="K942" s="1634"/>
      <c r="L942" s="1634"/>
      <c r="M942" s="1634"/>
      <c r="N942" s="1634"/>
      <c r="O942" s="1634"/>
      <c r="P942" s="1634"/>
      <c r="Q942" s="1634"/>
      <c r="R942" s="1634"/>
      <c r="S942" s="1634"/>
      <c r="T942" s="1635"/>
      <c r="U942" s="1632" t="s">
        <v>591</v>
      </c>
      <c r="V942" s="1429"/>
      <c r="W942" s="1429"/>
      <c r="X942" s="1429"/>
      <c r="Y942" s="1429"/>
      <c r="Z942" s="1430"/>
      <c r="AA942" s="1636"/>
      <c r="AB942" s="1526"/>
      <c r="AC942" s="1526"/>
      <c r="AD942" s="1526"/>
      <c r="AE942" s="1526"/>
      <c r="AF942" s="1637"/>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632" t="s">
        <v>591</v>
      </c>
      <c r="V943" s="1429"/>
      <c r="W943" s="1429"/>
      <c r="X943" s="1429"/>
      <c r="Y943" s="1429"/>
      <c r="Z943" s="1430"/>
      <c r="AA943" s="1636"/>
      <c r="AB943" s="1526"/>
      <c r="AC943" s="1526"/>
      <c r="AD943" s="1526"/>
      <c r="AE943" s="1526"/>
      <c r="AF943" s="1637"/>
      <c r="AZ943" s="34"/>
      <c r="BA943" s="34"/>
      <c r="BB943" s="34"/>
      <c r="BC943" s="34"/>
    </row>
    <row r="944" spans="6:55" ht="13" customHeight="1">
      <c r="F944" s="1633" t="s">
        <v>2203</v>
      </c>
      <c r="G944" s="1634"/>
      <c r="H944" s="1634"/>
      <c r="I944" s="1634"/>
      <c r="J944" s="1634"/>
      <c r="K944" s="1634"/>
      <c r="L944" s="1634"/>
      <c r="M944" s="1634"/>
      <c r="N944" s="1634"/>
      <c r="O944" s="1634"/>
      <c r="P944" s="1634"/>
      <c r="Q944" s="1634"/>
      <c r="R944" s="1634"/>
      <c r="S944" s="1634"/>
      <c r="T944" s="1635"/>
      <c r="U944" s="1632" t="s">
        <v>591</v>
      </c>
      <c r="V944" s="1429"/>
      <c r="W944" s="1429"/>
      <c r="X944" s="1429"/>
      <c r="Y944" s="1429"/>
      <c r="Z944" s="1430"/>
      <c r="AA944" s="1636"/>
      <c r="AB944" s="1526"/>
      <c r="AC944" s="1526"/>
      <c r="AD944" s="1526"/>
      <c r="AE944" s="1526"/>
      <c r="AF944" s="1637"/>
      <c r="AZ944" s="34"/>
      <c r="BA944" s="34"/>
      <c r="BB944" s="34"/>
      <c r="BC944" s="34"/>
    </row>
    <row r="945" spans="1:55" ht="13" customHeight="1">
      <c r="F945" s="45" t="s">
        <v>806</v>
      </c>
      <c r="G945" s="5"/>
      <c r="H945" s="5"/>
      <c r="I945" s="5"/>
      <c r="J945" s="5"/>
      <c r="K945" s="5"/>
      <c r="L945" s="5"/>
      <c r="M945" s="5"/>
      <c r="N945" s="5"/>
      <c r="O945" s="5"/>
      <c r="P945" s="1632" t="s">
        <v>669</v>
      </c>
      <c r="Q945" s="1429"/>
      <c r="R945" s="1429"/>
      <c r="S945" s="1429"/>
      <c r="T945" s="1430"/>
      <c r="U945" s="1632" t="s">
        <v>591</v>
      </c>
      <c r="V945" s="1429"/>
      <c r="W945" s="1429"/>
      <c r="X945" s="1429"/>
      <c r="Y945" s="1429"/>
      <c r="Z945" s="1430"/>
      <c r="AA945" s="1636"/>
      <c r="AB945" s="1526"/>
      <c r="AC945" s="1526"/>
      <c r="AD945" s="1526"/>
      <c r="AE945" s="1526"/>
      <c r="AF945" s="1637"/>
      <c r="AZ945" s="34"/>
      <c r="BA945" s="34"/>
      <c r="BB945" s="34"/>
      <c r="BC945" s="34"/>
    </row>
    <row r="946" spans="1:55" ht="13" customHeight="1">
      <c r="F946" s="1629" t="s">
        <v>2190</v>
      </c>
      <c r="G946" s="1630"/>
      <c r="H946" s="1631"/>
      <c r="I946" s="1646" t="s">
        <v>2710</v>
      </c>
      <c r="J946" s="1647"/>
      <c r="K946" s="1647"/>
      <c r="L946" s="1647"/>
      <c r="M946" s="1647"/>
      <c r="N946" s="1647"/>
      <c r="O946" s="1647"/>
      <c r="P946" s="1647"/>
      <c r="Q946" s="1647"/>
      <c r="R946" s="1647"/>
      <c r="S946" s="1647"/>
      <c r="T946" s="1648"/>
      <c r="U946" s="1632" t="s">
        <v>545</v>
      </c>
      <c r="V946" s="1429"/>
      <c r="W946" s="1429"/>
      <c r="X946" s="1429"/>
      <c r="Y946" s="1429"/>
      <c r="Z946" s="1430"/>
      <c r="AA946" s="1636">
        <v>21977623</v>
      </c>
      <c r="AB946" s="1526"/>
      <c r="AC946" s="1526"/>
      <c r="AD946" s="1526"/>
      <c r="AE946" s="1526"/>
      <c r="AF946" s="1637"/>
      <c r="AZ946" s="34"/>
      <c r="BA946" s="34"/>
      <c r="BB946" s="34"/>
      <c r="BC946" s="34"/>
    </row>
    <row r="947" spans="1:55" ht="13" customHeight="1">
      <c r="F947" s="45" t="s">
        <v>86</v>
      </c>
      <c r="G947" s="48"/>
      <c r="H947" s="48"/>
      <c r="I947" s="1646" t="s">
        <v>2710</v>
      </c>
      <c r="J947" s="1647"/>
      <c r="K947" s="1647"/>
      <c r="L947" s="1647"/>
      <c r="M947" s="1647"/>
      <c r="N947" s="1647"/>
      <c r="O947" s="1647"/>
      <c r="P947" s="1647"/>
      <c r="Q947" s="1647"/>
      <c r="R947" s="1647"/>
      <c r="S947" s="1647"/>
      <c r="T947" s="1648"/>
      <c r="U947" s="1632" t="s">
        <v>545</v>
      </c>
      <c r="V947" s="1429"/>
      <c r="W947" s="1429"/>
      <c r="X947" s="1429"/>
      <c r="Y947" s="1429"/>
      <c r="Z947" s="1430"/>
      <c r="AA947" s="1636">
        <v>10440000</v>
      </c>
      <c r="AB947" s="1526"/>
      <c r="AC947" s="1526"/>
      <c r="AD947" s="1526"/>
      <c r="AE947" s="1526"/>
      <c r="AF947" s="1637"/>
      <c r="AZ947" s="34"/>
      <c r="BA947" s="34"/>
      <c r="BB947" s="34"/>
      <c r="BC947" s="34"/>
    </row>
    <row r="948" spans="1:55" ht="13" customHeight="1">
      <c r="F948" s="45" t="s">
        <v>10</v>
      </c>
      <c r="G948" s="48"/>
      <c r="H948" s="48"/>
      <c r="I948" s="1702" t="s">
        <v>2614</v>
      </c>
      <c r="J948" s="1703"/>
      <c r="K948" s="1703"/>
      <c r="L948" s="1703"/>
      <c r="M948" s="1703"/>
      <c r="N948" s="1703"/>
      <c r="O948" s="1703"/>
      <c r="P948" s="1703"/>
      <c r="Q948" s="1703"/>
      <c r="R948" s="1703"/>
      <c r="S948" s="1703"/>
      <c r="T948" s="1704"/>
      <c r="U948" s="1632" t="s">
        <v>545</v>
      </c>
      <c r="V948" s="1429"/>
      <c r="W948" s="1429"/>
      <c r="X948" s="1429"/>
      <c r="Y948" s="1429"/>
      <c r="Z948" s="1430"/>
      <c r="AA948" s="1636">
        <v>5000000</v>
      </c>
      <c r="AB948" s="1526"/>
      <c r="AC948" s="1526"/>
      <c r="AD948" s="1526"/>
      <c r="AE948" s="1526"/>
      <c r="AF948" s="1637"/>
      <c r="AV948" s="2"/>
      <c r="AW948" s="2"/>
      <c r="AX948" s="2"/>
      <c r="AY948" s="2"/>
      <c r="AZ948" s="34"/>
      <c r="BA948" s="34"/>
      <c r="BB948" s="34"/>
      <c r="BC948" s="34"/>
    </row>
    <row r="949" spans="1:55" ht="13" customHeight="1">
      <c r="F949" s="47" t="s">
        <v>170</v>
      </c>
      <c r="G949" s="48"/>
      <c r="H949" s="48"/>
      <c r="I949" s="1702" t="s">
        <v>2694</v>
      </c>
      <c r="J949" s="1703"/>
      <c r="K949" s="1703"/>
      <c r="L949" s="1703"/>
      <c r="M949" s="1703"/>
      <c r="N949" s="1703"/>
      <c r="O949" s="1703"/>
      <c r="P949" s="1703"/>
      <c r="Q949" s="1703"/>
      <c r="R949" s="1703"/>
      <c r="S949" s="1703"/>
      <c r="T949" s="1704"/>
      <c r="U949" s="1632" t="s">
        <v>545</v>
      </c>
      <c r="V949" s="1429"/>
      <c r="W949" s="1429"/>
      <c r="X949" s="1429"/>
      <c r="Y949" s="1429"/>
      <c r="Z949" s="1430"/>
      <c r="AA949" s="1636">
        <v>3175000</v>
      </c>
      <c r="AB949" s="1526"/>
      <c r="AC949" s="1526"/>
      <c r="AD949" s="1526"/>
      <c r="AE949" s="1526"/>
      <c r="AF949" s="1637"/>
      <c r="AU949" s="2"/>
      <c r="AZ949" s="34"/>
      <c r="BA949" s="34"/>
      <c r="BB949" s="34"/>
      <c r="BC949" s="34"/>
    </row>
    <row r="950" spans="1:55" ht="13" customHeight="1">
      <c r="F950" s="47" t="s">
        <v>170</v>
      </c>
      <c r="G950" s="48"/>
      <c r="H950" s="48"/>
      <c r="I950" s="1702" t="s">
        <v>334</v>
      </c>
      <c r="J950" s="1703"/>
      <c r="K950" s="1703"/>
      <c r="L950" s="1703"/>
      <c r="M950" s="1703"/>
      <c r="N950" s="1703"/>
      <c r="O950" s="1703"/>
      <c r="P950" s="1703"/>
      <c r="Q950" s="1703"/>
      <c r="R950" s="1703"/>
      <c r="S950" s="1703"/>
      <c r="T950" s="1704"/>
      <c r="U950" s="1632" t="s">
        <v>591</v>
      </c>
      <c r="V950" s="1429"/>
      <c r="W950" s="1429"/>
      <c r="X950" s="1429"/>
      <c r="Y950" s="1429"/>
      <c r="Z950" s="1430"/>
      <c r="AA950" s="1636"/>
      <c r="AB950" s="1526"/>
      <c r="AC950" s="1526"/>
      <c r="AD950" s="1526"/>
      <c r="AE950" s="1526"/>
      <c r="AF950" s="1637"/>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6"/>
      <c r="N955" s="1522"/>
      <c r="O955" s="1522"/>
      <c r="P955" s="1522"/>
      <c r="Q955" s="1522"/>
      <c r="R955" s="1522"/>
      <c r="S955" s="1627"/>
      <c r="U955" s="66" t="s">
        <v>11</v>
      </c>
      <c r="V955" s="5"/>
      <c r="W955" s="5"/>
      <c r="X955" s="5"/>
      <c r="Y955" s="5"/>
      <c r="Z955" s="5"/>
      <c r="AA955" s="5"/>
      <c r="AB955" s="5"/>
      <c r="AC955" s="5"/>
      <c r="AD955" s="46"/>
      <c r="AE955" s="1706"/>
      <c r="AF955" s="1522"/>
      <c r="AG955" s="1522"/>
      <c r="AH955" s="1522"/>
      <c r="AI955" s="1522"/>
      <c r="AJ955" s="1522"/>
      <c r="AK955" s="1627"/>
      <c r="AZ955" s="34"/>
      <c r="BA955" s="34"/>
      <c r="BB955" s="34"/>
      <c r="BC955" s="34"/>
    </row>
    <row r="956" spans="1:55" ht="13" customHeight="1">
      <c r="C956" s="66" t="s">
        <v>12</v>
      </c>
      <c r="D956" s="5"/>
      <c r="E956" s="5"/>
      <c r="F956" s="5"/>
      <c r="G956" s="5"/>
      <c r="H956" s="5"/>
      <c r="I956" s="5"/>
      <c r="J956" s="5"/>
      <c r="K956" s="5"/>
      <c r="L956" s="46"/>
      <c r="M956" s="1665"/>
      <c r="N956" s="1535"/>
      <c r="O956" s="1535"/>
      <c r="P956" s="1535"/>
      <c r="Q956" s="1535"/>
      <c r="R956" s="1535"/>
      <c r="S956" s="1666"/>
      <c r="U956" s="66" t="s">
        <v>12</v>
      </c>
      <c r="V956" s="5"/>
      <c r="W956" s="5"/>
      <c r="X956" s="5"/>
      <c r="Y956" s="5"/>
      <c r="Z956" s="5"/>
      <c r="AA956" s="5"/>
      <c r="AB956" s="5"/>
      <c r="AC956" s="5"/>
      <c r="AD956" s="46"/>
      <c r="AE956" s="1665"/>
      <c r="AF956" s="1535"/>
      <c r="AG956" s="1535"/>
      <c r="AH956" s="1535"/>
      <c r="AI956" s="1535"/>
      <c r="AJ956" s="1535"/>
      <c r="AK956" s="1666"/>
      <c r="AZ956" s="34"/>
      <c r="BA956" s="34"/>
      <c r="BB956" s="34"/>
      <c r="BC956" s="34"/>
    </row>
    <row r="957" spans="1:55" ht="13" customHeight="1">
      <c r="C957" s="66" t="s">
        <v>880</v>
      </c>
      <c r="D957" s="5"/>
      <c r="E957" s="5"/>
      <c r="J957" s="1810" t="s">
        <v>307</v>
      </c>
      <c r="K957" s="1811"/>
      <c r="L957" s="1811"/>
      <c r="M957" s="1811"/>
      <c r="N957" s="1811"/>
      <c r="O957" s="1811"/>
      <c r="P957" s="1811"/>
      <c r="Q957" s="1811"/>
      <c r="R957" s="1811"/>
      <c r="S957" s="1812"/>
      <c r="U957" s="66" t="s">
        <v>880</v>
      </c>
      <c r="V957" s="5"/>
      <c r="W957" s="5"/>
      <c r="AB957" s="1810" t="s">
        <v>307</v>
      </c>
      <c r="AC957" s="1811"/>
      <c r="AD957" s="1811"/>
      <c r="AE957" s="1811"/>
      <c r="AF957" s="1811"/>
      <c r="AG957" s="1811"/>
      <c r="AH957" s="1811"/>
      <c r="AI957" s="1811"/>
      <c r="AJ957" s="1811"/>
      <c r="AK957" s="1812"/>
      <c r="AZ957" s="34"/>
      <c r="BA957" s="34"/>
      <c r="BB957" s="34"/>
      <c r="BC957" s="34"/>
    </row>
    <row r="958" spans="1:55" ht="13" customHeight="1">
      <c r="C958" s="66" t="s">
        <v>13</v>
      </c>
      <c r="D958" s="5"/>
      <c r="E958" s="5"/>
      <c r="F958" s="5"/>
      <c r="G958" s="5"/>
      <c r="H958" s="5"/>
      <c r="I958" s="5"/>
      <c r="J958" s="5"/>
      <c r="K958" s="5"/>
      <c r="L958" s="46"/>
      <c r="M958" s="1707"/>
      <c r="N958" s="1708"/>
      <c r="O958" s="1708"/>
      <c r="P958" s="1708"/>
      <c r="Q958" s="1708"/>
      <c r="R958" s="1708"/>
      <c r="S958" s="1709"/>
      <c r="U958" s="66" t="s">
        <v>13</v>
      </c>
      <c r="V958" s="5"/>
      <c r="W958" s="5"/>
      <c r="X958" s="5"/>
      <c r="Y958" s="5"/>
      <c r="Z958" s="5"/>
      <c r="AA958" s="5"/>
      <c r="AB958" s="5"/>
      <c r="AC958" s="5"/>
      <c r="AD958" s="46"/>
      <c r="AE958" s="1781"/>
      <c r="AF958" s="1708"/>
      <c r="AG958" s="1708"/>
      <c r="AH958" s="1708"/>
      <c r="AI958" s="1708"/>
      <c r="AJ958" s="1708"/>
      <c r="AK958" s="1709"/>
      <c r="AZ958" s="34"/>
      <c r="BA958" s="34"/>
      <c r="BB958" s="34"/>
      <c r="BC958" s="34"/>
    </row>
    <row r="959" spans="1:55" ht="13" customHeight="1">
      <c r="C959" s="66" t="s">
        <v>14</v>
      </c>
      <c r="D959" s="5"/>
      <c r="E959" s="5"/>
      <c r="F959" s="5"/>
      <c r="G959" s="5"/>
      <c r="H959" s="5"/>
      <c r="I959" s="5"/>
      <c r="J959" s="5"/>
      <c r="K959" s="5"/>
      <c r="L959" s="46"/>
      <c r="M959" s="1727"/>
      <c r="N959" s="1612"/>
      <c r="O959" s="1612"/>
      <c r="P959" s="1612"/>
      <c r="Q959" s="1612"/>
      <c r="R959" s="1612"/>
      <c r="S959" s="1613"/>
      <c r="U959" s="66" t="s">
        <v>14</v>
      </c>
      <c r="V959" s="5"/>
      <c r="W959" s="5"/>
      <c r="X959" s="5"/>
      <c r="Y959" s="5"/>
      <c r="Z959" s="5"/>
      <c r="AA959" s="5"/>
      <c r="AB959" s="5"/>
      <c r="AC959" s="5"/>
      <c r="AD959" s="46"/>
      <c r="AE959" s="1727"/>
      <c r="AF959" s="1612"/>
      <c r="AG959" s="1612"/>
      <c r="AH959" s="1612"/>
      <c r="AI959" s="1612"/>
      <c r="AJ959" s="1612"/>
      <c r="AK959" s="1613"/>
      <c r="AV959" s="2"/>
      <c r="AW959" s="2"/>
      <c r="AX959" s="2"/>
      <c r="AY959" s="2"/>
      <c r="AZ959" s="34"/>
      <c r="BA959" s="34"/>
      <c r="BB959" s="34"/>
      <c r="BC959" s="34"/>
    </row>
    <row r="960" spans="1:55" ht="13" customHeight="1">
      <c r="C960" s="66" t="s">
        <v>15</v>
      </c>
      <c r="D960" s="5"/>
      <c r="E960" s="5"/>
      <c r="F960" s="5"/>
      <c r="G960" s="5"/>
      <c r="H960" s="5"/>
      <c r="I960" s="5"/>
      <c r="J960" s="5"/>
      <c r="K960" s="5"/>
      <c r="L960" s="46"/>
      <c r="M960" s="1636"/>
      <c r="N960" s="1526"/>
      <c r="O960" s="1526"/>
      <c r="P960" s="1526"/>
      <c r="Q960" s="1526"/>
      <c r="R960" s="1526"/>
      <c r="S960" s="1637"/>
      <c r="U960" s="66" t="s">
        <v>15</v>
      </c>
      <c r="V960" s="5"/>
      <c r="W960" s="5"/>
      <c r="X960" s="5"/>
      <c r="Y960" s="5"/>
      <c r="Z960" s="5"/>
      <c r="AA960" s="5"/>
      <c r="AB960" s="5"/>
      <c r="AC960" s="5"/>
      <c r="AD960" s="46"/>
      <c r="AE960" s="1636"/>
      <c r="AF960" s="1526"/>
      <c r="AG960" s="1526"/>
      <c r="AH960" s="1526"/>
      <c r="AI960" s="1526"/>
      <c r="AJ960" s="1526"/>
      <c r="AK960" s="1637"/>
      <c r="AV960" s="2"/>
      <c r="AW960" s="2"/>
      <c r="AX960" s="2"/>
      <c r="AY960" s="2"/>
      <c r="AZ960" s="34"/>
      <c r="BA960" s="34"/>
      <c r="BB960" s="34"/>
      <c r="BC960" s="34"/>
    </row>
    <row r="961" spans="1:64" ht="13" customHeight="1">
      <c r="C961" s="66" t="s">
        <v>16</v>
      </c>
      <c r="D961" s="5"/>
      <c r="E961" s="5"/>
      <c r="F961" s="5"/>
      <c r="G961" s="5"/>
      <c r="H961" s="5"/>
      <c r="I961" s="5"/>
      <c r="J961" s="5"/>
      <c r="K961" s="5"/>
      <c r="L961" s="46"/>
      <c r="M961" s="1636"/>
      <c r="N961" s="1526"/>
      <c r="O961" s="1526"/>
      <c r="P961" s="1526"/>
      <c r="Q961" s="1526"/>
      <c r="R961" s="1526"/>
      <c r="S961" s="1637"/>
      <c r="U961" s="66" t="s">
        <v>16</v>
      </c>
      <c r="V961" s="5"/>
      <c r="W961" s="5"/>
      <c r="X961" s="5"/>
      <c r="Y961" s="5"/>
      <c r="Z961" s="5"/>
      <c r="AA961" s="5"/>
      <c r="AB961" s="5"/>
      <c r="AC961" s="5"/>
      <c r="AD961" s="46"/>
      <c r="AE961" s="1636"/>
      <c r="AF961" s="1526"/>
      <c r="AG961" s="1526"/>
      <c r="AH961" s="1526"/>
      <c r="AI961" s="1526"/>
      <c r="AJ961" s="1526"/>
      <c r="AK961" s="1637"/>
      <c r="AV961" s="2"/>
      <c r="AW961" s="2"/>
      <c r="AX961" s="2"/>
      <c r="AY961" s="2"/>
      <c r="AZ961" s="34"/>
      <c r="BB961" s="34"/>
      <c r="BC961" s="34"/>
    </row>
    <row r="962" spans="1:64" ht="13" customHeight="1">
      <c r="C962" s="121" t="s">
        <v>1660</v>
      </c>
      <c r="D962" s="5"/>
      <c r="E962" s="5"/>
      <c r="F962" s="5"/>
      <c r="G962" s="5"/>
      <c r="H962" s="5"/>
      <c r="I962" s="5"/>
      <c r="J962" s="5"/>
      <c r="K962" s="5"/>
      <c r="L962" s="46"/>
      <c r="M962" s="1778"/>
      <c r="N962" s="1779"/>
      <c r="O962" s="1779"/>
      <c r="P962" s="1779"/>
      <c r="Q962" s="1779"/>
      <c r="R962" s="1779"/>
      <c r="S962" s="1780"/>
      <c r="U962" s="121" t="s">
        <v>1660</v>
      </c>
      <c r="V962" s="5"/>
      <c r="W962" s="5"/>
      <c r="X962" s="5"/>
      <c r="Y962" s="5"/>
      <c r="Z962" s="5"/>
      <c r="AA962" s="5"/>
      <c r="AB962" s="5"/>
      <c r="AC962" s="5"/>
      <c r="AD962" s="46"/>
      <c r="AE962" s="1778"/>
      <c r="AF962" s="1779"/>
      <c r="AG962" s="1779"/>
      <c r="AH962" s="1779"/>
      <c r="AI962" s="1779"/>
      <c r="AJ962" s="1779"/>
      <c r="AK962" s="1780"/>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62"/>
      <c r="N967" s="1663"/>
      <c r="O967" s="1663"/>
      <c r="P967" s="1663"/>
      <c r="Q967" s="1663"/>
      <c r="R967" s="1663"/>
      <c r="S967" s="1664"/>
      <c r="T967" s="66" t="s">
        <v>790</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62"/>
      <c r="N968" s="1663"/>
      <c r="O968" s="1663"/>
      <c r="P968" s="1663"/>
      <c r="Q968" s="1663"/>
      <c r="R968" s="1663"/>
      <c r="S968" s="1664"/>
      <c r="T968" s="66" t="s">
        <v>789</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10" t="s">
        <v>591</v>
      </c>
      <c r="N969" s="1711"/>
      <c r="O969" s="1711"/>
      <c r="P969" s="1711"/>
      <c r="Q969" s="1711"/>
      <c r="R969" s="1711"/>
      <c r="S969" s="1712"/>
      <c r="T969" s="45" t="s">
        <v>337</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62"/>
      <c r="N970" s="1663"/>
      <c r="O970" s="1663"/>
      <c r="P970" s="1663"/>
      <c r="Q970" s="1663"/>
      <c r="R970" s="1663"/>
      <c r="S970" s="1664"/>
      <c r="T970" s="45" t="s">
        <v>338</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62"/>
      <c r="N971" s="1663"/>
      <c r="O971" s="1663"/>
      <c r="P971" s="1663"/>
      <c r="Q971" s="1663"/>
      <c r="R971" s="1663"/>
      <c r="S971" s="1664"/>
      <c r="T971" s="45" t="s">
        <v>376</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10" t="s">
        <v>307</v>
      </c>
      <c r="N972" s="1811"/>
      <c r="O972" s="1811"/>
      <c r="P972" s="1811"/>
      <c r="Q972" s="1811"/>
      <c r="R972" s="1811"/>
      <c r="S972" s="1812"/>
      <c r="T972" s="1765"/>
      <c r="U972" s="1766"/>
      <c r="V972" s="1766"/>
      <c r="W972" s="1766"/>
      <c r="X972" s="1766"/>
      <c r="Y972" s="1766"/>
      <c r="Z972" s="1767"/>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62"/>
      <c r="N973" s="1663"/>
      <c r="O973" s="1663"/>
      <c r="P973" s="1663"/>
      <c r="Q973" s="1663"/>
      <c r="R973" s="1663"/>
      <c r="S973" s="1664"/>
      <c r="T973" s="1765"/>
      <c r="U973" s="1766"/>
      <c r="V973" s="1766"/>
      <c r="W973" s="1766"/>
      <c r="X973" s="1766"/>
      <c r="Y973" s="1766"/>
      <c r="Z973" s="1767"/>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2" t="s">
        <v>669</v>
      </c>
      <c r="P974" s="1374"/>
      <c r="Q974" s="92"/>
      <c r="R974" s="92"/>
      <c r="S974" s="93"/>
      <c r="T974" s="41" t="s">
        <v>170</v>
      </c>
      <c r="U974" s="42"/>
      <c r="V974" s="42"/>
      <c r="W974" s="1813" t="s">
        <v>334</v>
      </c>
      <c r="X974" s="1814"/>
      <c r="Y974" s="1814"/>
      <c r="Z974" s="1814"/>
      <c r="AA974" s="1814"/>
      <c r="AB974" s="1814"/>
      <c r="AC974" s="1814"/>
      <c r="AD974" s="1814"/>
      <c r="AE974" s="1814"/>
      <c r="AF974" s="1814"/>
      <c r="AG974" s="1815"/>
      <c r="AU974" s="68"/>
      <c r="AV974" s="95"/>
      <c r="AW974" s="95"/>
      <c r="AX974" s="95"/>
      <c r="AY974" s="95"/>
      <c r="AZ974" s="34"/>
      <c r="BB974" s="34"/>
      <c r="BC974" s="34"/>
      <c r="BD974" s="34"/>
      <c r="BE974" s="34"/>
      <c r="BF974" s="34"/>
      <c r="BG974" s="34"/>
      <c r="BH974" s="34"/>
      <c r="BI974" s="34"/>
      <c r="BJ974" s="34"/>
      <c r="BK974" s="34"/>
      <c r="BL974" s="34"/>
    </row>
    <row r="975" spans="1:64" ht="13" customHeight="1">
      <c r="F975" s="1607" t="s">
        <v>33</v>
      </c>
      <c r="G975" s="1485"/>
      <c r="H975" s="1485"/>
      <c r="I975" s="1485"/>
      <c r="J975" s="1485"/>
      <c r="K975" s="1485"/>
      <c r="L975" s="1485"/>
      <c r="M975" s="1662"/>
      <c r="N975" s="1663"/>
      <c r="O975" s="1663"/>
      <c r="P975" s="1663"/>
      <c r="Q975" s="1663"/>
      <c r="R975" s="1663"/>
      <c r="S975" s="1664"/>
      <c r="T975" s="47"/>
      <c r="U975" s="48"/>
      <c r="V975" s="48"/>
      <c r="W975" s="48"/>
      <c r="X975" s="48"/>
      <c r="Y975" s="48"/>
      <c r="Z975" s="124" t="s">
        <v>134</v>
      </c>
      <c r="AA975" s="1762"/>
      <c r="AB975" s="1763"/>
      <c r="AC975" s="1763"/>
      <c r="AD975" s="1763"/>
      <c r="AE975" s="1763"/>
      <c r="AF975" s="1763"/>
      <c r="AG975" s="1764"/>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7" t="s">
        <v>548</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3"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3"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93" t="s">
        <v>638</v>
      </c>
      <c r="E985" s="1794"/>
      <c r="F985" s="1794"/>
      <c r="G985" s="1794"/>
      <c r="H985" s="1794"/>
      <c r="I985" s="1794"/>
      <c r="J985" s="1794"/>
      <c r="K985" s="1794"/>
      <c r="L985" s="1794"/>
      <c r="M985" s="1794"/>
      <c r="N985" s="1794"/>
      <c r="O985" s="1794"/>
      <c r="P985" s="1794"/>
      <c r="Q985" s="1795"/>
      <c r="R985" s="1793" t="s">
        <v>639</v>
      </c>
      <c r="S985" s="1794"/>
      <c r="T985" s="1794"/>
      <c r="U985" s="1794"/>
      <c r="V985" s="1794"/>
      <c r="W985" s="1794"/>
      <c r="X985" s="1794"/>
      <c r="Y985" s="1794"/>
      <c r="Z985" s="1794"/>
      <c r="AA985" s="1795"/>
      <c r="AB985" s="1793" t="s">
        <v>640</v>
      </c>
      <c r="AC985" s="1794"/>
      <c r="AD985" s="1794"/>
      <c r="AE985" s="1794"/>
      <c r="AF985" s="1794"/>
      <c r="AG985" s="1794"/>
      <c r="AH985" s="1794"/>
      <c r="AI985" s="1795"/>
      <c r="AJ985" s="1793" t="s">
        <v>641</v>
      </c>
      <c r="AK985" s="1794"/>
      <c r="AL985" s="1794"/>
      <c r="AM985" s="1794"/>
      <c r="AN985" s="1794"/>
      <c r="AO985" s="1794"/>
      <c r="AP985" s="1794"/>
      <c r="AQ985" s="1795"/>
      <c r="AR985" s="68"/>
      <c r="AS985" s="68"/>
      <c r="AT985" s="68"/>
      <c r="AU985" s="68"/>
      <c r="AV985" s="68"/>
      <c r="AW985" s="68"/>
      <c r="AX985" s="68"/>
      <c r="AY985" s="68"/>
      <c r="AZ985" s="30"/>
      <c r="BB985" s="14"/>
      <c r="BC985" s="14"/>
    </row>
    <row r="986" spans="1:64" ht="13" customHeight="1">
      <c r="A986" s="14"/>
      <c r="B986" s="73"/>
      <c r="C986" s="929"/>
      <c r="D986" s="1799" t="s">
        <v>633</v>
      </c>
      <c r="E986" s="1800"/>
      <c r="F986" s="1800"/>
      <c r="G986" s="1800"/>
      <c r="H986" s="1800"/>
      <c r="I986" s="1800"/>
      <c r="J986" s="1800"/>
      <c r="K986" s="1800"/>
      <c r="L986" s="1800"/>
      <c r="M986" s="1800"/>
      <c r="N986" s="1800"/>
      <c r="O986" s="1800"/>
      <c r="P986" s="1800"/>
      <c r="Q986" s="1801"/>
      <c r="R986" s="1786">
        <f>IF(ISNA(IF($CU$122="4%",(INDEX($CS$160:$CW$217,MATCH($DG$122,$CR$160:$CR$217,0),MATCH(D986,$CS$159:$CW$159,0))),(INDEX($CZ$160:$DD$217,MATCH($DG$122,$CY$160:$CY$217,0),MATCH(D986,$CZ$159:$DD$159,0))))),0,IF($CU$122="4%",(INDEX($CS$160:$CW$217,MATCH($DG$122,$CR$160:$CR$217,0),MATCH(D986,$CS$159:$CW$159,0))),(INDEX($CZ$160:$DD$217,MATCH($DG$122,$CY$160:$CY$217,0),MATCH(D986,$CZ$159:$DD$159,0)))))</f>
        <v>353173</v>
      </c>
      <c r="S986" s="1786"/>
      <c r="T986" s="1786"/>
      <c r="U986" s="1786"/>
      <c r="V986" s="1786"/>
      <c r="W986" s="1786"/>
      <c r="X986" s="1786"/>
      <c r="Y986" s="1786"/>
      <c r="Z986" s="1786"/>
      <c r="AA986" s="1786"/>
      <c r="AB986" s="1783">
        <f>CP802</f>
        <v>0</v>
      </c>
      <c r="AC986" s="1784"/>
      <c r="AD986" s="1784"/>
      <c r="AE986" s="1784"/>
      <c r="AF986" s="1784"/>
      <c r="AG986" s="1784"/>
      <c r="AH986" s="1784"/>
      <c r="AI986" s="1785"/>
      <c r="AJ986" s="1719">
        <f>IF(ISERROR((R986*AB986)),0,(R986*AB986))</f>
        <v>0</v>
      </c>
      <c r="AK986" s="1720"/>
      <c r="AL986" s="1720"/>
      <c r="AM986" s="1720"/>
      <c r="AN986" s="1720"/>
      <c r="AO986" s="1720"/>
      <c r="AP986" s="1720"/>
      <c r="AQ986" s="1721"/>
      <c r="AR986" s="68"/>
      <c r="AS986" s="68"/>
      <c r="AT986" s="68"/>
      <c r="AU986" s="68"/>
      <c r="AV986" s="68"/>
      <c r="AW986" s="68"/>
      <c r="AX986" s="68"/>
      <c r="AY986" s="68"/>
      <c r="AZ986" s="30"/>
      <c r="BB986" s="14"/>
      <c r="BC986" s="14"/>
    </row>
    <row r="987" spans="1:64" ht="13" customHeight="1">
      <c r="A987" s="14"/>
      <c r="B987" s="73"/>
      <c r="C987" s="83"/>
      <c r="D987" s="1799" t="s">
        <v>325</v>
      </c>
      <c r="E987" s="1800"/>
      <c r="F987" s="1800"/>
      <c r="G987" s="1800"/>
      <c r="H987" s="1800"/>
      <c r="I987" s="1800"/>
      <c r="J987" s="1800"/>
      <c r="K987" s="1800"/>
      <c r="L987" s="1800"/>
      <c r="M987" s="1800"/>
      <c r="N987" s="1800"/>
      <c r="O987" s="1800"/>
      <c r="P987" s="1800"/>
      <c r="Q987" s="1801"/>
      <c r="R987" s="1786">
        <f>IF(ISNA(IF($CU$122="4%",(INDEX($CS$160:$CW$217,MATCH($DG$122,$CR$160:$CR$217,0),MATCH(D987,$CS$159:$CW$159,0))),(INDEX($CZ$160:$DD$217,MATCH($DG$122,$CY$160:$CY$217,0),MATCH(D987,$CZ$159:$DD$159,0))))),0,IF($CU$122="4%",(INDEX($CS$160:$CW$217,MATCH($DG$122,$CR$160:$CR$217,0),MATCH(D987,$CS$159:$CW$159,0))),(INDEX($CZ$160:$DD$217,MATCH($DG$122,$CY$160:$CY$217,0),MATCH(D987,$CZ$159:$DD$159,0)))))</f>
        <v>407205</v>
      </c>
      <c r="S987" s="1786"/>
      <c r="T987" s="1786"/>
      <c r="U987" s="1786"/>
      <c r="V987" s="1786"/>
      <c r="W987" s="1786"/>
      <c r="X987" s="1786"/>
      <c r="Y987" s="1786"/>
      <c r="Z987" s="1786"/>
      <c r="AA987" s="1786"/>
      <c r="AB987" s="1783">
        <f>CU802</f>
        <v>35</v>
      </c>
      <c r="AC987" s="1784"/>
      <c r="AD987" s="1784"/>
      <c r="AE987" s="1784"/>
      <c r="AF987" s="1784"/>
      <c r="AG987" s="1784"/>
      <c r="AH987" s="1784"/>
      <c r="AI987" s="1785"/>
      <c r="AJ987" s="1719">
        <f>IF(ISERROR((R987*AB987)),0,(R987*AB987))</f>
        <v>14252175</v>
      </c>
      <c r="AK987" s="1720"/>
      <c r="AL987" s="1720"/>
      <c r="AM987" s="1720"/>
      <c r="AN987" s="1720"/>
      <c r="AO987" s="1720"/>
      <c r="AP987" s="1720"/>
      <c r="AQ987" s="1721"/>
      <c r="AR987" s="68"/>
      <c r="AS987" s="68"/>
      <c r="AT987" s="68"/>
      <c r="AU987" s="68"/>
      <c r="AV987" s="68"/>
      <c r="AW987" s="68"/>
      <c r="AX987" s="68"/>
      <c r="AY987" s="68"/>
      <c r="AZ987" s="30"/>
      <c r="BB987" s="14"/>
      <c r="BC987" s="14"/>
    </row>
    <row r="988" spans="1:64" ht="13" customHeight="1">
      <c r="A988" s="14"/>
      <c r="B988" s="73"/>
      <c r="C988" s="83"/>
      <c r="D988" s="1799" t="s">
        <v>163</v>
      </c>
      <c r="E988" s="1800"/>
      <c r="F988" s="1800"/>
      <c r="G988" s="1800"/>
      <c r="H988" s="1800"/>
      <c r="I988" s="1800"/>
      <c r="J988" s="1800"/>
      <c r="K988" s="1800"/>
      <c r="L988" s="1800"/>
      <c r="M988" s="1800"/>
      <c r="N988" s="1800"/>
      <c r="O988" s="1800"/>
      <c r="P988" s="1800"/>
      <c r="Q988" s="1801"/>
      <c r="R988" s="1786">
        <f>IF(ISNA(IF($CU$122="4%",(INDEX($CS$160:$CW$217,MATCH($DG$122,$CR$160:$CR$217,0),MATCH(D988,$CS$159:$CW$159,0))),(INDEX($CZ$160:$DD$217,MATCH($DG$122,$CY$160:$CY$217,0),MATCH(D988,$CZ$159:$DD$159,0))))),0,IF($CU$122="4%",(INDEX($CS$160:$CW$217,MATCH($DG$122,$CR$160:$CR$217,0),MATCH(D988,$CS$159:$CW$159,0))),(INDEX($CZ$160:$DD$217,MATCH($DG$122,$CY$160:$CY$217,0),MATCH(D988,$CZ$159:$DD$159,0)))))</f>
        <v>491200</v>
      </c>
      <c r="S988" s="1786"/>
      <c r="T988" s="1786"/>
      <c r="U988" s="1786"/>
      <c r="V988" s="1786"/>
      <c r="W988" s="1786"/>
      <c r="X988" s="1786"/>
      <c r="Y988" s="1786"/>
      <c r="Z988" s="1786"/>
      <c r="AA988" s="1786"/>
      <c r="AB988" s="1783">
        <f>CZ802</f>
        <v>28</v>
      </c>
      <c r="AC988" s="1784"/>
      <c r="AD988" s="1784"/>
      <c r="AE988" s="1784"/>
      <c r="AF988" s="1784"/>
      <c r="AG988" s="1784"/>
      <c r="AH988" s="1784"/>
      <c r="AI988" s="1785"/>
      <c r="AJ988" s="1719">
        <f>IF(ISERROR((R988*AB988)),0,(R988*AB988))</f>
        <v>13753600</v>
      </c>
      <c r="AK988" s="1720"/>
      <c r="AL988" s="1720"/>
      <c r="AM988" s="1720"/>
      <c r="AN988" s="1720"/>
      <c r="AO988" s="1720"/>
      <c r="AP988" s="1720"/>
      <c r="AQ988" s="1721"/>
      <c r="AR988" s="68"/>
      <c r="AS988" s="68"/>
      <c r="AT988" s="68"/>
      <c r="AU988" s="68"/>
      <c r="AV988" s="68"/>
      <c r="AW988" s="68"/>
      <c r="AX988" s="68"/>
      <c r="AY988" s="68"/>
      <c r="AZ988" s="30"/>
      <c r="BB988" s="14"/>
      <c r="BC988" s="14"/>
    </row>
    <row r="989" spans="1:64" ht="13" customHeight="1">
      <c r="A989" s="14"/>
      <c r="B989" s="73"/>
      <c r="C989" s="83"/>
      <c r="D989" s="1799" t="s">
        <v>164</v>
      </c>
      <c r="E989" s="1800"/>
      <c r="F989" s="1800"/>
      <c r="G989" s="1800"/>
      <c r="H989" s="1800"/>
      <c r="I989" s="1800"/>
      <c r="J989" s="1800"/>
      <c r="K989" s="1800"/>
      <c r="L989" s="1800"/>
      <c r="M989" s="1800"/>
      <c r="N989" s="1800"/>
      <c r="O989" s="1800"/>
      <c r="P989" s="1800"/>
      <c r="Q989" s="1801"/>
      <c r="R989" s="1786">
        <f>IF(ISNA(IF($CU$122="4%",(INDEX($CS$160:$CW$217,MATCH($DG$122,$CR$160:$CR$217,0),MATCH(D989,$CS$159:$CW$159,0))),(INDEX($CZ$160:$DD$217,MATCH($DG$122,$CY$160:$CY$217,0),MATCH(D989,$CZ$159:$DD$159,0))))),0,IF($CU$122="4%",(INDEX($CS$160:$CW$217,MATCH($DG$122,$CR$160:$CR$217,0),MATCH(D989,$CS$159:$CW$159,0))),(INDEX($CZ$160:$DD$217,MATCH($DG$122,$CY$160:$CY$217,0),MATCH(D989,$CZ$159:$DD$159,0)))))</f>
        <v>628736</v>
      </c>
      <c r="S989" s="1786"/>
      <c r="T989" s="1786"/>
      <c r="U989" s="1786"/>
      <c r="V989" s="1786"/>
      <c r="W989" s="1786"/>
      <c r="X989" s="1786"/>
      <c r="Y989" s="1786"/>
      <c r="Z989" s="1786"/>
      <c r="AA989" s="1786"/>
      <c r="AB989" s="1783">
        <f>DE802</f>
        <v>35</v>
      </c>
      <c r="AC989" s="1784"/>
      <c r="AD989" s="1784"/>
      <c r="AE989" s="1784"/>
      <c r="AF989" s="1784"/>
      <c r="AG989" s="1784"/>
      <c r="AH989" s="1784"/>
      <c r="AI989" s="1785"/>
      <c r="AJ989" s="1719">
        <f>IF(ISERROR((R989*AB989)),0,(R989*AB989))</f>
        <v>22005760</v>
      </c>
      <c r="AK989" s="1720"/>
      <c r="AL989" s="1720"/>
      <c r="AM989" s="1720"/>
      <c r="AN989" s="1720"/>
      <c r="AO989" s="1720"/>
      <c r="AP989" s="1720"/>
      <c r="AQ989" s="1721"/>
      <c r="AR989" s="68"/>
      <c r="AS989" s="68"/>
      <c r="AT989" s="68"/>
      <c r="AU989" s="68"/>
      <c r="AV989" s="68"/>
      <c r="AW989" s="68"/>
      <c r="AX989" s="68"/>
      <c r="AY989" s="68"/>
      <c r="AZ989" s="30"/>
      <c r="BA989" s="34"/>
      <c r="BB989" s="14"/>
      <c r="BC989" s="14"/>
    </row>
    <row r="990" spans="1:64" ht="13" customHeight="1">
      <c r="A990" s="14"/>
      <c r="B990" s="47"/>
      <c r="C990" s="78"/>
      <c r="D990" s="1799" t="s">
        <v>460</v>
      </c>
      <c r="E990" s="1800"/>
      <c r="F990" s="1800"/>
      <c r="G990" s="1800"/>
      <c r="H990" s="1800"/>
      <c r="I990" s="1800"/>
      <c r="J990" s="1800"/>
      <c r="K990" s="1800"/>
      <c r="L990" s="1800"/>
      <c r="M990" s="1800"/>
      <c r="N990" s="1800"/>
      <c r="O990" s="1800"/>
      <c r="P990" s="1800"/>
      <c r="Q990" s="1801"/>
      <c r="R990" s="1786">
        <f>IF(ISNA(IF($CU$122="4%",(INDEX($CS$160:$CW$217,MATCH($DG$122,$CR$160:$CR$217,0),MATCH(D990,$CS$159:$CW$159,0))),(INDEX($CZ$160:$DD$217,MATCH($DG$122,$CY$160:$CY$217,0),MATCH(D990,$CZ$159:$DD$159,0))))),0,IF($CU$122="4%",(INDEX($CS$160:$CW$217,MATCH($DG$122,$CR$160:$CR$217,0),MATCH(D990,$CS$159:$CW$159,0))),(INDEX($CZ$160:$DD$217,MATCH($DG$122,$CY$160:$CY$217,0),MATCH(D990,$CZ$159:$DD$159,0)))))</f>
        <v>700451</v>
      </c>
      <c r="S990" s="1786"/>
      <c r="T990" s="1786"/>
      <c r="U990" s="1786"/>
      <c r="V990" s="1786"/>
      <c r="W990" s="1786"/>
      <c r="X990" s="1786"/>
      <c r="Y990" s="1786"/>
      <c r="Z990" s="1786"/>
      <c r="AA990" s="1786"/>
      <c r="AB990" s="1783">
        <f>DO802+DJ802</f>
        <v>0</v>
      </c>
      <c r="AC990" s="1784"/>
      <c r="AD990" s="1784"/>
      <c r="AE990" s="1784"/>
      <c r="AF990" s="1784"/>
      <c r="AG990" s="1784"/>
      <c r="AH990" s="1784"/>
      <c r="AI990" s="1785"/>
      <c r="AJ990" s="1719">
        <f>IF(ISERROR((R990*AB990)),0,(R990*AB990))</f>
        <v>0</v>
      </c>
      <c r="AK990" s="1720"/>
      <c r="AL990" s="1720"/>
      <c r="AM990" s="1720"/>
      <c r="AN990" s="1720"/>
      <c r="AO990" s="1720"/>
      <c r="AP990" s="1720"/>
      <c r="AQ990" s="1721"/>
      <c r="AR990" s="68"/>
      <c r="AS990" s="68"/>
      <c r="AT990" s="68"/>
      <c r="AU990" s="68"/>
      <c r="AV990" s="68"/>
      <c r="AW990" s="68"/>
      <c r="AX990" s="68"/>
      <c r="AY990" s="68"/>
      <c r="AZ990" s="30"/>
      <c r="BB990" s="14"/>
      <c r="BC990" s="14"/>
    </row>
    <row r="991" spans="1:64" ht="13" customHeight="1">
      <c r="A991" s="14"/>
      <c r="B991" s="1740" t="s">
        <v>791</v>
      </c>
      <c r="C991" s="1741"/>
      <c r="D991" s="1741"/>
      <c r="E991" s="1741"/>
      <c r="F991" s="1741"/>
      <c r="G991" s="1741"/>
      <c r="H991" s="1741"/>
      <c r="I991" s="1741"/>
      <c r="J991" s="1741"/>
      <c r="K991" s="1741"/>
      <c r="L991" s="1741"/>
      <c r="M991" s="1741"/>
      <c r="N991" s="1741"/>
      <c r="O991" s="1741"/>
      <c r="P991" s="1741"/>
      <c r="Q991" s="1741"/>
      <c r="R991" s="1741"/>
      <c r="S991" s="1741"/>
      <c r="T991" s="1741"/>
      <c r="U991" s="1741"/>
      <c r="V991" s="1741"/>
      <c r="W991" s="1741"/>
      <c r="X991" s="1741"/>
      <c r="Y991" s="1741"/>
      <c r="Z991" s="1741"/>
      <c r="AA991" s="1742"/>
      <c r="AB991" s="1783">
        <f>SUM(AB986:AI990)</f>
        <v>98</v>
      </c>
      <c r="AC991" s="1784"/>
      <c r="AD991" s="1784"/>
      <c r="AE991" s="1784"/>
      <c r="AF991" s="1784"/>
      <c r="AG991" s="1784"/>
      <c r="AH991" s="1784"/>
      <c r="AI991" s="1785"/>
      <c r="AJ991" s="1719"/>
      <c r="AK991" s="1720"/>
      <c r="AL991" s="1720"/>
      <c r="AM991" s="1720"/>
      <c r="AN991" s="1720"/>
      <c r="AO991" s="1720"/>
      <c r="AP991" s="1720"/>
      <c r="AQ991" s="1721"/>
      <c r="AR991" s="68"/>
      <c r="AS991" s="68"/>
      <c r="AT991" s="68"/>
      <c r="AU991" s="68"/>
      <c r="AV991" s="68"/>
      <c r="AW991" s="68"/>
      <c r="AX991" s="68"/>
      <c r="AY991" s="68"/>
      <c r="AZ991" s="34"/>
      <c r="BA991" s="34"/>
      <c r="BB991" s="14"/>
      <c r="BC991" s="14"/>
    </row>
    <row r="992" spans="1:64" ht="13" customHeight="1">
      <c r="A992" s="14"/>
      <c r="B992" s="1796" t="s">
        <v>512</v>
      </c>
      <c r="C992" s="1797"/>
      <c r="D992" s="1797"/>
      <c r="E992" s="1797"/>
      <c r="F992" s="1797"/>
      <c r="G992" s="1797"/>
      <c r="H992" s="1797"/>
      <c r="I992" s="1797"/>
      <c r="J992" s="1797"/>
      <c r="K992" s="1797"/>
      <c r="L992" s="1797"/>
      <c r="M992" s="1797"/>
      <c r="N992" s="1797"/>
      <c r="O992" s="1797"/>
      <c r="P992" s="1797"/>
      <c r="Q992" s="1797"/>
      <c r="R992" s="1797"/>
      <c r="S992" s="1797"/>
      <c r="T992" s="1797"/>
      <c r="U992" s="1797"/>
      <c r="V992" s="1797"/>
      <c r="W992" s="1797"/>
      <c r="X992" s="1797"/>
      <c r="Y992" s="1797"/>
      <c r="Z992" s="1797"/>
      <c r="AA992" s="1797"/>
      <c r="AB992" s="1797"/>
      <c r="AC992" s="1797"/>
      <c r="AD992" s="1797"/>
      <c r="AE992" s="1797"/>
      <c r="AF992" s="1797"/>
      <c r="AG992" s="1797"/>
      <c r="AH992" s="1797"/>
      <c r="AI992" s="1798"/>
      <c r="AJ992" s="1719">
        <f>SUM(AJ986:AQ990)</f>
        <v>50011535</v>
      </c>
      <c r="AK992" s="1720"/>
      <c r="AL992" s="1720"/>
      <c r="AM992" s="1720"/>
      <c r="AN992" s="1720"/>
      <c r="AO992" s="1720"/>
      <c r="AP992" s="1720"/>
      <c r="AQ992" s="1721"/>
      <c r="AR992" s="68"/>
      <c r="AS992" s="68"/>
      <c r="AT992" s="68"/>
      <c r="AU992" s="68"/>
      <c r="AV992" s="68"/>
      <c r="AW992" s="68"/>
      <c r="AX992" s="68"/>
      <c r="AY992" s="68"/>
      <c r="AZ992" s="34"/>
      <c r="BB992" s="34"/>
      <c r="BC992" s="34"/>
    </row>
    <row r="993" spans="1:55" ht="13" customHeight="1">
      <c r="A993" s="14"/>
      <c r="B993" s="1749"/>
      <c r="C993" s="1750"/>
      <c r="D993" s="1750"/>
      <c r="E993" s="1750"/>
      <c r="F993" s="1750"/>
      <c r="G993" s="1750"/>
      <c r="H993" s="1750"/>
      <c r="I993" s="1750"/>
      <c r="J993" s="1750"/>
      <c r="K993" s="1750"/>
      <c r="L993" s="1750"/>
      <c r="M993" s="1750"/>
      <c r="N993" s="1750"/>
      <c r="O993" s="1750"/>
      <c r="P993" s="1750"/>
      <c r="Q993" s="1750"/>
      <c r="R993" s="1750"/>
      <c r="S993" s="1750"/>
      <c r="T993" s="1750"/>
      <c r="U993" s="1750"/>
      <c r="V993" s="1750"/>
      <c r="W993" s="1750"/>
      <c r="X993" s="1750"/>
      <c r="Y993" s="1750"/>
      <c r="Z993" s="1750"/>
      <c r="AA993" s="1750"/>
      <c r="AB993" s="1750"/>
      <c r="AC993" s="1750"/>
      <c r="AD993" s="1750"/>
      <c r="AE993" s="1751"/>
      <c r="AF993" s="1828" t="s">
        <v>666</v>
      </c>
      <c r="AG993" s="1829"/>
      <c r="AH993" s="1829"/>
      <c r="AI993" s="1830"/>
      <c r="AJ993" s="1749"/>
      <c r="AK993" s="1750"/>
      <c r="AL993" s="1750"/>
      <c r="AM993" s="1750"/>
      <c r="AN993" s="1750"/>
      <c r="AO993" s="1750"/>
      <c r="AP993" s="1750"/>
      <c r="AQ993" s="1751"/>
      <c r="AR993" s="68"/>
      <c r="AS993" s="68"/>
      <c r="AT993" s="68"/>
      <c r="AU993" s="68"/>
      <c r="AV993" s="68"/>
      <c r="AW993" s="68"/>
      <c r="AX993" s="68"/>
      <c r="AY993" s="68"/>
      <c r="AZ993" s="34"/>
      <c r="BA993" s="34"/>
      <c r="BB993" s="34"/>
      <c r="BC993" s="34"/>
    </row>
    <row r="994" spans="1:55" ht="13" customHeight="1">
      <c r="A994" s="14"/>
      <c r="B994" s="73"/>
      <c r="C994" s="927" t="s">
        <v>668</v>
      </c>
      <c r="D994" s="1737" t="s">
        <v>1219</v>
      </c>
      <c r="E994" s="1738"/>
      <c r="F994" s="1738"/>
      <c r="G994" s="1738"/>
      <c r="H994" s="1738"/>
      <c r="I994" s="1738"/>
      <c r="J994" s="1738"/>
      <c r="K994" s="1738"/>
      <c r="L994" s="1738"/>
      <c r="M994" s="1738"/>
      <c r="N994" s="1738"/>
      <c r="O994" s="1738"/>
      <c r="P994" s="1738"/>
      <c r="Q994" s="1738"/>
      <c r="R994" s="1738"/>
      <c r="S994" s="1738"/>
      <c r="T994" s="1738"/>
      <c r="U994" s="1738"/>
      <c r="V994" s="1738"/>
      <c r="W994" s="1738"/>
      <c r="X994" s="1738"/>
      <c r="Y994" s="1738"/>
      <c r="Z994" s="1738"/>
      <c r="AA994" s="1738"/>
      <c r="AB994" s="1738"/>
      <c r="AC994" s="1738"/>
      <c r="AD994" s="1738"/>
      <c r="AE994" s="1739"/>
      <c r="AF994" s="79"/>
      <c r="AG994" s="1831" t="s">
        <v>669</v>
      </c>
      <c r="AH994" s="1832"/>
      <c r="AI994" s="87"/>
      <c r="AJ994" s="1728">
        <f>ROUND(IF(AND(AG994="yes",D1000&gt;0),AJ992*0.2,0),0)</f>
        <v>0</v>
      </c>
      <c r="AK994" s="1729"/>
      <c r="AL994" s="1729"/>
      <c r="AM994" s="1729"/>
      <c r="AN994" s="1729"/>
      <c r="AO994" s="1729"/>
      <c r="AP994" s="1729"/>
      <c r="AQ994" s="1730"/>
      <c r="AR994" s="68"/>
      <c r="AS994" s="68"/>
      <c r="AT994" s="68"/>
      <c r="AU994" s="68"/>
      <c r="AV994" s="68"/>
      <c r="AW994" s="68"/>
      <c r="AX994" s="68"/>
      <c r="AY994" s="68"/>
      <c r="AZ994" s="34"/>
      <c r="BA994" s="34"/>
      <c r="BB994" s="34"/>
      <c r="BC994" s="34"/>
    </row>
    <row r="995" spans="1:55" ht="13" customHeight="1">
      <c r="A995" s="14"/>
      <c r="B995" s="257"/>
      <c r="C995" s="256"/>
      <c r="D995" s="1771" t="s">
        <v>2234</v>
      </c>
      <c r="E995" s="1772"/>
      <c r="F995" s="1772"/>
      <c r="G995" s="1772"/>
      <c r="H995" s="1772"/>
      <c r="I995" s="1772"/>
      <c r="J995" s="1772"/>
      <c r="K995" s="1772"/>
      <c r="L995" s="1772"/>
      <c r="M995" s="1772"/>
      <c r="N995" s="1772"/>
      <c r="O995" s="1772"/>
      <c r="P995" s="1772"/>
      <c r="Q995" s="1772"/>
      <c r="R995" s="1772"/>
      <c r="S995" s="1772"/>
      <c r="T995" s="1772"/>
      <c r="U995" s="1772"/>
      <c r="V995" s="1772"/>
      <c r="W995" s="1772"/>
      <c r="X995" s="1772"/>
      <c r="Y995" s="1772"/>
      <c r="Z995" s="1772"/>
      <c r="AA995" s="1772"/>
      <c r="AB995" s="1772"/>
      <c r="AC995" s="1772"/>
      <c r="AD995" s="1772"/>
      <c r="AE995" s="1773"/>
      <c r="AF995" s="73"/>
      <c r="AG995" s="14"/>
      <c r="AH995" s="14"/>
      <c r="AI995" s="83"/>
      <c r="AJ995" s="1731"/>
      <c r="AK995" s="1732"/>
      <c r="AL995" s="1732"/>
      <c r="AM995" s="1732"/>
      <c r="AN995" s="1732"/>
      <c r="AO995" s="1732"/>
      <c r="AP995" s="1732"/>
      <c r="AQ995" s="1733"/>
      <c r="AR995" s="68"/>
      <c r="AS995" s="68"/>
      <c r="AT995" s="68"/>
      <c r="AU995" s="68"/>
      <c r="AV995" s="68"/>
      <c r="AW995" s="68"/>
      <c r="AX995" s="68"/>
      <c r="AY995" s="68"/>
      <c r="AZ995" s="34"/>
      <c r="BA995" s="34"/>
      <c r="BB995" s="34"/>
      <c r="BC995" s="34"/>
    </row>
    <row r="996" spans="1:55" ht="13" customHeight="1">
      <c r="A996" s="14"/>
      <c r="B996" s="257"/>
      <c r="C996" s="256"/>
      <c r="D996" s="1771"/>
      <c r="E996" s="1772"/>
      <c r="F996" s="1772"/>
      <c r="G996" s="1772"/>
      <c r="H996" s="1772"/>
      <c r="I996" s="1772"/>
      <c r="J996" s="1772"/>
      <c r="K996" s="1772"/>
      <c r="L996" s="1772"/>
      <c r="M996" s="1772"/>
      <c r="N996" s="1772"/>
      <c r="O996" s="1772"/>
      <c r="P996" s="1772"/>
      <c r="Q996" s="1772"/>
      <c r="R996" s="1772"/>
      <c r="S996" s="1772"/>
      <c r="T996" s="1772"/>
      <c r="U996" s="1772"/>
      <c r="V996" s="1772"/>
      <c r="W996" s="1772"/>
      <c r="X996" s="1772"/>
      <c r="Y996" s="1772"/>
      <c r="Z996" s="1772"/>
      <c r="AA996" s="1772"/>
      <c r="AB996" s="1772"/>
      <c r="AC996" s="1772"/>
      <c r="AD996" s="1772"/>
      <c r="AE996" s="1773"/>
      <c r="AF996" s="73"/>
      <c r="AG996" s="14"/>
      <c r="AH996" s="14"/>
      <c r="AI996" s="83"/>
      <c r="AJ996" s="1731"/>
      <c r="AK996" s="1732"/>
      <c r="AL996" s="1732"/>
      <c r="AM996" s="1732"/>
      <c r="AN996" s="1732"/>
      <c r="AO996" s="1732"/>
      <c r="AP996" s="1732"/>
      <c r="AQ996" s="1733"/>
      <c r="AR996" s="68"/>
      <c r="AS996" s="68"/>
      <c r="AT996" s="68"/>
      <c r="AU996" s="68"/>
      <c r="AV996" s="68"/>
      <c r="AW996" s="68"/>
      <c r="AX996" s="68"/>
      <c r="AY996" s="68"/>
      <c r="AZ996" s="34"/>
      <c r="BA996" s="34"/>
      <c r="BB996" s="34"/>
      <c r="BC996" s="34"/>
    </row>
    <row r="997" spans="1:55" ht="13" customHeight="1">
      <c r="A997" s="14"/>
      <c r="B997" s="257"/>
      <c r="C997" s="256"/>
      <c r="D997" s="1771"/>
      <c r="E997" s="1772"/>
      <c r="F997" s="1772"/>
      <c r="G997" s="1772"/>
      <c r="H997" s="1772"/>
      <c r="I997" s="1772"/>
      <c r="J997" s="1772"/>
      <c r="K997" s="1772"/>
      <c r="L997" s="1772"/>
      <c r="M997" s="1772"/>
      <c r="N997" s="1772"/>
      <c r="O997" s="1772"/>
      <c r="P997" s="1772"/>
      <c r="Q997" s="1772"/>
      <c r="R997" s="1772"/>
      <c r="S997" s="1772"/>
      <c r="T997" s="1772"/>
      <c r="U997" s="1772"/>
      <c r="V997" s="1772"/>
      <c r="W997" s="1772"/>
      <c r="X997" s="1772"/>
      <c r="Y997" s="1772"/>
      <c r="Z997" s="1772"/>
      <c r="AA997" s="1772"/>
      <c r="AB997" s="1772"/>
      <c r="AC997" s="1772"/>
      <c r="AD997" s="1772"/>
      <c r="AE997" s="1773"/>
      <c r="AF997" s="73"/>
      <c r="AG997" s="14"/>
      <c r="AH997" s="14"/>
      <c r="AI997" s="83"/>
      <c r="AJ997" s="1731"/>
      <c r="AK997" s="1732"/>
      <c r="AL997" s="1732"/>
      <c r="AM997" s="1732"/>
      <c r="AN997" s="1732"/>
      <c r="AO997" s="1732"/>
      <c r="AP997" s="1732"/>
      <c r="AQ997" s="1733"/>
      <c r="AR997" s="68"/>
      <c r="AS997" s="68"/>
      <c r="AT997" s="68"/>
      <c r="AU997" s="68"/>
      <c r="AV997" s="68"/>
      <c r="AW997" s="68"/>
      <c r="AX997" s="68"/>
      <c r="AY997" s="68"/>
      <c r="AZ997" s="34"/>
      <c r="BA997" s="34"/>
      <c r="BB997" s="34"/>
      <c r="BC997" s="34"/>
    </row>
    <row r="998" spans="1:55" ht="13" customHeight="1">
      <c r="A998" s="14"/>
      <c r="B998" s="257"/>
      <c r="C998" s="256"/>
      <c r="D998" s="1771"/>
      <c r="E998" s="1772"/>
      <c r="F998" s="1772"/>
      <c r="G998" s="1772"/>
      <c r="H998" s="1772"/>
      <c r="I998" s="1772"/>
      <c r="J998" s="1772"/>
      <c r="K998" s="1772"/>
      <c r="L998" s="1772"/>
      <c r="M998" s="1772"/>
      <c r="N998" s="1772"/>
      <c r="O998" s="1772"/>
      <c r="P998" s="1772"/>
      <c r="Q998" s="1772"/>
      <c r="R998" s="1772"/>
      <c r="S998" s="1772"/>
      <c r="T998" s="1772"/>
      <c r="U998" s="1772"/>
      <c r="V998" s="1772"/>
      <c r="W998" s="1772"/>
      <c r="X998" s="1772"/>
      <c r="Y998" s="1772"/>
      <c r="Z998" s="1772"/>
      <c r="AA998" s="1772"/>
      <c r="AB998" s="1772"/>
      <c r="AC998" s="1772"/>
      <c r="AD998" s="1772"/>
      <c r="AE998" s="1773"/>
      <c r="AF998" s="73"/>
      <c r="AG998" s="14"/>
      <c r="AH998" s="14"/>
      <c r="AI998" s="83"/>
      <c r="AJ998" s="1731"/>
      <c r="AK998" s="1732"/>
      <c r="AL998" s="1732"/>
      <c r="AM998" s="1732"/>
      <c r="AN998" s="1732"/>
      <c r="AO998" s="1732"/>
      <c r="AP998" s="1732"/>
      <c r="AQ998" s="1733"/>
      <c r="AR998" s="68"/>
      <c r="AS998" s="68"/>
      <c r="AT998" s="68"/>
      <c r="AU998" s="68"/>
      <c r="AV998" s="68"/>
      <c r="AW998" s="68"/>
      <c r="AX998" s="68"/>
      <c r="AY998" s="68"/>
      <c r="AZ998" s="34"/>
      <c r="BA998" s="34"/>
      <c r="BB998" s="34"/>
      <c r="BC998" s="34"/>
    </row>
    <row r="999" spans="1:55" ht="13" customHeight="1">
      <c r="A999" s="14"/>
      <c r="B999" s="257"/>
      <c r="C999" s="256"/>
      <c r="D999" s="1774" t="s">
        <v>2204</v>
      </c>
      <c r="E999" s="1775"/>
      <c r="F999" s="1775"/>
      <c r="G999" s="1775"/>
      <c r="H999" s="1775"/>
      <c r="I999" s="1775"/>
      <c r="J999" s="1775"/>
      <c r="K999" s="1775"/>
      <c r="L999" s="1775"/>
      <c r="M999" s="1775"/>
      <c r="N999" s="1775"/>
      <c r="O999" s="1775"/>
      <c r="P999" s="1775"/>
      <c r="Q999" s="1775"/>
      <c r="R999" s="1775"/>
      <c r="S999" s="1775"/>
      <c r="T999" s="1775"/>
      <c r="U999" s="1775"/>
      <c r="V999" s="1775"/>
      <c r="W999" s="1775"/>
      <c r="X999" s="1775"/>
      <c r="Y999" s="1775"/>
      <c r="Z999" s="1775"/>
      <c r="AA999" s="1775"/>
      <c r="AB999" s="1775"/>
      <c r="AC999" s="1775"/>
      <c r="AD999" s="1775"/>
      <c r="AE999" s="1776"/>
      <c r="AF999" s="73"/>
      <c r="AG999" s="14"/>
      <c r="AH999" s="14"/>
      <c r="AI999" s="83"/>
      <c r="AJ999" s="1731"/>
      <c r="AK999" s="1732"/>
      <c r="AL999" s="1732"/>
      <c r="AM999" s="1732"/>
      <c r="AN999" s="1732"/>
      <c r="AO999" s="1732"/>
      <c r="AP999" s="1732"/>
      <c r="AQ999" s="1733"/>
      <c r="AR999" s="68"/>
      <c r="AS999" s="68"/>
      <c r="AT999" s="68"/>
      <c r="AU999" s="68"/>
      <c r="AV999" s="68"/>
      <c r="AW999" s="68"/>
      <c r="AX999" s="68"/>
      <c r="AY999" s="68"/>
      <c r="AZ999" s="34"/>
      <c r="BA999" s="34"/>
      <c r="BB999" s="34"/>
      <c r="BC999" s="34"/>
    </row>
    <row r="1000" spans="1:55" ht="13" customHeight="1">
      <c r="A1000" s="14"/>
      <c r="B1000" s="257"/>
      <c r="C1000" s="256"/>
      <c r="D1000" s="1743"/>
      <c r="E1000" s="1744"/>
      <c r="F1000" s="1744"/>
      <c r="G1000" s="1744"/>
      <c r="H1000" s="1744"/>
      <c r="I1000" s="1744"/>
      <c r="J1000" s="1744"/>
      <c r="K1000" s="1744"/>
      <c r="L1000" s="1744"/>
      <c r="M1000" s="1744"/>
      <c r="N1000" s="1744"/>
      <c r="O1000" s="1744"/>
      <c r="P1000" s="1744"/>
      <c r="Q1000" s="1744"/>
      <c r="R1000" s="1744"/>
      <c r="S1000" s="1744"/>
      <c r="T1000" s="1744"/>
      <c r="U1000" s="1744"/>
      <c r="V1000" s="1744"/>
      <c r="W1000" s="1744"/>
      <c r="X1000" s="1744"/>
      <c r="Y1000" s="1744"/>
      <c r="Z1000" s="1744"/>
      <c r="AA1000" s="1744"/>
      <c r="AB1000" s="1744"/>
      <c r="AC1000" s="1744"/>
      <c r="AD1000" s="1744"/>
      <c r="AE1000" s="1745"/>
      <c r="AF1000" s="77"/>
      <c r="AG1000" s="7"/>
      <c r="AH1000" s="7"/>
      <c r="AI1000" s="78"/>
      <c r="AJ1000" s="1734"/>
      <c r="AK1000" s="1735"/>
      <c r="AL1000" s="1735"/>
      <c r="AM1000" s="1735"/>
      <c r="AN1000" s="1735"/>
      <c r="AO1000" s="1735"/>
      <c r="AP1000" s="1735"/>
      <c r="AQ1000" s="1736"/>
      <c r="AR1000" s="68"/>
      <c r="AS1000" s="68"/>
      <c r="AT1000" s="68"/>
      <c r="AU1000" s="68"/>
      <c r="AV1000" s="68"/>
      <c r="AW1000" s="68"/>
      <c r="AX1000" s="68"/>
      <c r="AY1000" s="68"/>
      <c r="AZ1000" s="34"/>
      <c r="BA1000" s="34"/>
      <c r="BB1000" s="34"/>
      <c r="BC1000" s="34"/>
    </row>
    <row r="1001" spans="1:55" ht="13" customHeight="1">
      <c r="A1001" s="14"/>
      <c r="B1001" s="255"/>
      <c r="C1001" s="318"/>
      <c r="D1001" s="1768" t="s">
        <v>1285</v>
      </c>
      <c r="E1001" s="1769"/>
      <c r="F1001" s="1769"/>
      <c r="G1001" s="1769"/>
      <c r="H1001" s="1769"/>
      <c r="I1001" s="1769"/>
      <c r="J1001" s="1769"/>
      <c r="K1001" s="1769"/>
      <c r="L1001" s="1769"/>
      <c r="M1001" s="1769"/>
      <c r="N1001" s="1769"/>
      <c r="O1001" s="1769"/>
      <c r="P1001" s="1769"/>
      <c r="Q1001" s="1769"/>
      <c r="R1001" s="1769"/>
      <c r="S1001" s="1769"/>
      <c r="T1001" s="1769"/>
      <c r="U1001" s="1769"/>
      <c r="V1001" s="1769"/>
      <c r="W1001" s="1769"/>
      <c r="X1001" s="1769"/>
      <c r="Y1001" s="1769"/>
      <c r="Z1001" s="1769"/>
      <c r="AA1001" s="1769"/>
      <c r="AB1001" s="1769"/>
      <c r="AC1001" s="1769"/>
      <c r="AD1001" s="1769"/>
      <c r="AE1001" s="1770"/>
      <c r="AF1001" s="79"/>
      <c r="AG1001" s="1754" t="s">
        <v>669</v>
      </c>
      <c r="AH1001" s="1755"/>
      <c r="AI1001" s="87"/>
      <c r="AJ1001" s="1728">
        <f>ROUND(IF(AG1001="yes",AJ992*0.05,0),0)</f>
        <v>0</v>
      </c>
      <c r="AK1001" s="1729"/>
      <c r="AL1001" s="1729"/>
      <c r="AM1001" s="1729"/>
      <c r="AN1001" s="1729"/>
      <c r="AO1001" s="1729"/>
      <c r="AP1001" s="1729"/>
      <c r="AQ1001" s="1730"/>
      <c r="AR1001" s="68"/>
      <c r="AS1001" s="68"/>
      <c r="AT1001" s="68"/>
      <c r="AU1001" s="68"/>
      <c r="AV1001" s="68"/>
      <c r="AW1001" s="68"/>
      <c r="AX1001" s="68"/>
      <c r="AY1001" s="68"/>
      <c r="AZ1001" s="34"/>
      <c r="BA1001" s="34"/>
      <c r="BB1001" s="34"/>
      <c r="BC1001" s="34"/>
    </row>
    <row r="1002" spans="1:55" ht="13" customHeight="1">
      <c r="A1002" s="14"/>
      <c r="B1002" s="257"/>
      <c r="C1002" s="82"/>
      <c r="D1002" s="1771" t="s">
        <v>1283</v>
      </c>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73"/>
      <c r="AG1002" s="14"/>
      <c r="AH1002" s="14"/>
      <c r="AI1002" s="83"/>
      <c r="AJ1002" s="1731"/>
      <c r="AK1002" s="1732"/>
      <c r="AL1002" s="1732"/>
      <c r="AM1002" s="1732"/>
      <c r="AN1002" s="1732"/>
      <c r="AO1002" s="1732"/>
      <c r="AP1002" s="1732"/>
      <c r="AQ1002" s="1733"/>
      <c r="AR1002" s="68"/>
      <c r="AS1002" s="68"/>
      <c r="AT1002" s="68"/>
      <c r="AU1002" s="68"/>
      <c r="AV1002" s="68"/>
      <c r="AW1002" s="68"/>
      <c r="AX1002" s="68"/>
      <c r="AY1002" s="34"/>
      <c r="AZ1002" s="34"/>
      <c r="BB1002" s="34"/>
    </row>
    <row r="1003" spans="1:55" ht="13" customHeight="1">
      <c r="A1003" s="14"/>
      <c r="B1003" s="257"/>
      <c r="C1003" s="82"/>
      <c r="D1003" s="1771"/>
      <c r="E1003" s="1772"/>
      <c r="F1003" s="1772"/>
      <c r="G1003" s="1772"/>
      <c r="H1003" s="1772"/>
      <c r="I1003" s="1772"/>
      <c r="J1003" s="1772"/>
      <c r="K1003" s="1772"/>
      <c r="L1003" s="1772"/>
      <c r="M1003" s="1772"/>
      <c r="N1003" s="1772"/>
      <c r="O1003" s="1772"/>
      <c r="P1003" s="1772"/>
      <c r="Q1003" s="1772"/>
      <c r="R1003" s="1772"/>
      <c r="S1003" s="1772"/>
      <c r="T1003" s="1772"/>
      <c r="U1003" s="1772"/>
      <c r="V1003" s="1772"/>
      <c r="W1003" s="1772"/>
      <c r="X1003" s="1772"/>
      <c r="Y1003" s="1772"/>
      <c r="Z1003" s="1772"/>
      <c r="AA1003" s="1772"/>
      <c r="AB1003" s="1772"/>
      <c r="AC1003" s="1772"/>
      <c r="AD1003" s="1772"/>
      <c r="AE1003" s="1773"/>
      <c r="AF1003" s="73"/>
      <c r="AG1003" s="14"/>
      <c r="AH1003" s="14"/>
      <c r="AI1003" s="83"/>
      <c r="AJ1003" s="1731"/>
      <c r="AK1003" s="1732"/>
      <c r="AL1003" s="1732"/>
      <c r="AM1003" s="1732"/>
      <c r="AN1003" s="1732"/>
      <c r="AO1003" s="1732"/>
      <c r="AP1003" s="1732"/>
      <c r="AQ1003" s="1733"/>
      <c r="AR1003" s="68"/>
      <c r="AS1003" s="68"/>
      <c r="AT1003" s="68"/>
      <c r="AU1003" s="68"/>
      <c r="AV1003" s="68"/>
      <c r="AW1003" s="68"/>
      <c r="AX1003" s="68"/>
      <c r="AY1003" s="914">
        <f>G753+O797</f>
        <v>97</v>
      </c>
      <c r="AZ1003" s="34"/>
      <c r="BB1003" s="34"/>
    </row>
    <row r="1004" spans="1:55" ht="13" customHeight="1">
      <c r="A1004" s="14"/>
      <c r="B1004" s="257"/>
      <c r="C1004" s="82"/>
      <c r="D1004" s="1771"/>
      <c r="E1004" s="1772"/>
      <c r="F1004" s="1772"/>
      <c r="G1004" s="1772"/>
      <c r="H1004" s="1772"/>
      <c r="I1004" s="1772"/>
      <c r="J1004" s="1772"/>
      <c r="K1004" s="1772"/>
      <c r="L1004" s="1772"/>
      <c r="M1004" s="1772"/>
      <c r="N1004" s="1772"/>
      <c r="O1004" s="1772"/>
      <c r="P1004" s="1772"/>
      <c r="Q1004" s="1772"/>
      <c r="R1004" s="1772"/>
      <c r="S1004" s="1772"/>
      <c r="T1004" s="1772"/>
      <c r="U1004" s="1772"/>
      <c r="V1004" s="1772"/>
      <c r="W1004" s="1772"/>
      <c r="X1004" s="1772"/>
      <c r="Y1004" s="1772"/>
      <c r="Z1004" s="1772"/>
      <c r="AA1004" s="1772"/>
      <c r="AB1004" s="1772"/>
      <c r="AC1004" s="1772"/>
      <c r="AD1004" s="1772"/>
      <c r="AE1004" s="1773"/>
      <c r="AF1004" s="73"/>
      <c r="AG1004" s="14"/>
      <c r="AH1004" s="14"/>
      <c r="AI1004" s="83"/>
      <c r="AJ1004" s="1731"/>
      <c r="AK1004" s="1732"/>
      <c r="AL1004" s="1732"/>
      <c r="AM1004" s="1732"/>
      <c r="AN1004" s="1732"/>
      <c r="AO1004" s="1732"/>
      <c r="AP1004" s="1732"/>
      <c r="AQ1004" s="1733"/>
      <c r="AR1004" s="68"/>
      <c r="AS1004" s="68"/>
      <c r="AT1004" s="68"/>
      <c r="AU1004" s="68"/>
      <c r="AV1004" s="68"/>
      <c r="AW1004" s="68"/>
      <c r="AX1004" s="68"/>
      <c r="AY1004" s="14"/>
      <c r="AZ1004" s="34"/>
      <c r="BB1004" s="34"/>
    </row>
    <row r="1005" spans="1:55" ht="13" customHeight="1">
      <c r="A1005" s="14"/>
      <c r="B1005" s="257"/>
      <c r="C1005" s="82"/>
      <c r="D1005" s="1771"/>
      <c r="E1005" s="1772"/>
      <c r="F1005" s="1772"/>
      <c r="G1005" s="1772"/>
      <c r="H1005" s="1772"/>
      <c r="I1005" s="1772"/>
      <c r="J1005" s="1772"/>
      <c r="K1005" s="1772"/>
      <c r="L1005" s="1772"/>
      <c r="M1005" s="1772"/>
      <c r="N1005" s="1772"/>
      <c r="O1005" s="1772"/>
      <c r="P1005" s="1772"/>
      <c r="Q1005" s="1772"/>
      <c r="R1005" s="1772"/>
      <c r="S1005" s="1772"/>
      <c r="T1005" s="1772"/>
      <c r="U1005" s="1772"/>
      <c r="V1005" s="1772"/>
      <c r="W1005" s="1772"/>
      <c r="X1005" s="1772"/>
      <c r="Y1005" s="1772"/>
      <c r="Z1005" s="1772"/>
      <c r="AA1005" s="1772"/>
      <c r="AB1005" s="1772"/>
      <c r="AC1005" s="1772"/>
      <c r="AD1005" s="1772"/>
      <c r="AE1005" s="1773"/>
      <c r="AF1005" s="73"/>
      <c r="AG1005" s="14"/>
      <c r="AH1005" s="14"/>
      <c r="AI1005" s="83"/>
      <c r="AJ1005" s="1731"/>
      <c r="AK1005" s="1732"/>
      <c r="AL1005" s="1732"/>
      <c r="AM1005" s="1732"/>
      <c r="AN1005" s="1732"/>
      <c r="AO1005" s="1732"/>
      <c r="AP1005" s="1732"/>
      <c r="AQ1005" s="1733"/>
      <c r="AR1005" s="68"/>
      <c r="AS1005" s="68"/>
      <c r="AT1005" s="68"/>
      <c r="AU1005" s="68"/>
      <c r="AV1005" s="68"/>
      <c r="AW1005" s="68"/>
      <c r="AX1005" s="68"/>
      <c r="AY1005" s="913">
        <f>ROUNDDOWN(X1048/I1048,2)</f>
        <v>0.11</v>
      </c>
      <c r="AZ1005" s="34"/>
      <c r="BB1005" s="34"/>
    </row>
    <row r="1006" spans="1:55" ht="13" customHeight="1">
      <c r="A1006" s="14"/>
      <c r="B1006" s="75"/>
      <c r="C1006" s="76"/>
      <c r="D1006" s="1774"/>
      <c r="E1006" s="1775"/>
      <c r="F1006" s="1775"/>
      <c r="G1006" s="1775"/>
      <c r="H1006" s="1775"/>
      <c r="I1006" s="1775"/>
      <c r="J1006" s="1775"/>
      <c r="K1006" s="1775"/>
      <c r="L1006" s="1775"/>
      <c r="M1006" s="1775"/>
      <c r="N1006" s="1775"/>
      <c r="O1006" s="1775"/>
      <c r="P1006" s="1775"/>
      <c r="Q1006" s="1775"/>
      <c r="R1006" s="1775"/>
      <c r="S1006" s="1775"/>
      <c r="T1006" s="1775"/>
      <c r="U1006" s="1775"/>
      <c r="V1006" s="1775"/>
      <c r="W1006" s="1775"/>
      <c r="X1006" s="1775"/>
      <c r="Y1006" s="1775"/>
      <c r="Z1006" s="1775"/>
      <c r="AA1006" s="1775"/>
      <c r="AB1006" s="1775"/>
      <c r="AC1006" s="1775"/>
      <c r="AD1006" s="1775"/>
      <c r="AE1006" s="1776"/>
      <c r="AF1006" s="77"/>
      <c r="AG1006" s="7"/>
      <c r="AH1006" s="7"/>
      <c r="AI1006" s="78"/>
      <c r="AJ1006" s="1734"/>
      <c r="AK1006" s="1735"/>
      <c r="AL1006" s="1735"/>
      <c r="AM1006" s="1735"/>
      <c r="AN1006" s="1735"/>
      <c r="AO1006" s="1735"/>
      <c r="AP1006" s="1735"/>
      <c r="AQ1006" s="1736"/>
      <c r="AR1006" s="68"/>
      <c r="AS1006" s="68"/>
      <c r="AT1006" s="68"/>
      <c r="AU1006" s="68"/>
      <c r="AV1006" s="68"/>
      <c r="AW1006" s="68"/>
      <c r="AX1006" s="68"/>
      <c r="AY1006" s="913">
        <f>ROUNDDOWN(X1052/I1052,2)</f>
        <v>0.15</v>
      </c>
      <c r="AZ1006" s="34"/>
      <c r="BB1006" s="34"/>
    </row>
    <row r="1007" spans="1:55" ht="13" customHeight="1">
      <c r="A1007" s="14"/>
      <c r="B1007" s="255"/>
      <c r="C1007" s="80" t="s">
        <v>672</v>
      </c>
      <c r="D1007" s="1768" t="s">
        <v>1681</v>
      </c>
      <c r="E1007" s="1769"/>
      <c r="F1007" s="1769"/>
      <c r="G1007" s="1769"/>
      <c r="H1007" s="1769"/>
      <c r="I1007" s="1769"/>
      <c r="J1007" s="1769"/>
      <c r="K1007" s="1769"/>
      <c r="L1007" s="1769"/>
      <c r="M1007" s="1769"/>
      <c r="N1007" s="1769"/>
      <c r="O1007" s="1769"/>
      <c r="P1007" s="1769"/>
      <c r="Q1007" s="1769"/>
      <c r="R1007" s="1769"/>
      <c r="S1007" s="1769"/>
      <c r="T1007" s="1769"/>
      <c r="U1007" s="1769"/>
      <c r="V1007" s="1769"/>
      <c r="W1007" s="1769"/>
      <c r="X1007" s="1769"/>
      <c r="Y1007" s="1769"/>
      <c r="Z1007" s="1769"/>
      <c r="AA1007" s="1769"/>
      <c r="AB1007" s="1769"/>
      <c r="AC1007" s="1769"/>
      <c r="AD1007" s="1769"/>
      <c r="AE1007" s="1770"/>
      <c r="AF1007" s="86"/>
      <c r="AG1007" s="1754" t="s">
        <v>669</v>
      </c>
      <c r="AH1007" s="1755"/>
      <c r="AI1007" s="87"/>
      <c r="AJ1007" s="1728">
        <f>ROUND(IF(AG1007="yes",AJ992*0.1,0),0)</f>
        <v>0</v>
      </c>
      <c r="AK1007" s="1729"/>
      <c r="AL1007" s="1729"/>
      <c r="AM1007" s="1729"/>
      <c r="AN1007" s="1729"/>
      <c r="AO1007" s="1729"/>
      <c r="AP1007" s="1729"/>
      <c r="AQ1007" s="1730"/>
      <c r="AR1007" s="68"/>
      <c r="AS1007" s="68"/>
      <c r="AT1007" s="68"/>
      <c r="AU1007" s="68"/>
      <c r="AV1007" s="68"/>
      <c r="AW1007" s="68"/>
      <c r="AX1007" s="68"/>
      <c r="BB1007" s="34"/>
    </row>
    <row r="1008" spans="1:55" ht="13" customHeight="1">
      <c r="A1008" s="14"/>
      <c r="B1008" s="73"/>
      <c r="C1008" s="74"/>
      <c r="D1008" s="1699" t="s">
        <v>1284</v>
      </c>
      <c r="E1008" s="1700"/>
      <c r="F1008" s="1700"/>
      <c r="G1008" s="1700"/>
      <c r="H1008" s="1700"/>
      <c r="I1008" s="1700"/>
      <c r="J1008" s="1700"/>
      <c r="K1008" s="1700"/>
      <c r="L1008" s="1700"/>
      <c r="M1008" s="1700"/>
      <c r="N1008" s="1700"/>
      <c r="O1008" s="1700"/>
      <c r="P1008" s="1700"/>
      <c r="Q1008" s="1700"/>
      <c r="R1008" s="1700"/>
      <c r="S1008" s="1700"/>
      <c r="T1008" s="1700"/>
      <c r="U1008" s="1700"/>
      <c r="V1008" s="1700"/>
      <c r="W1008" s="1700"/>
      <c r="X1008" s="1700"/>
      <c r="Y1008" s="1700"/>
      <c r="Z1008" s="1700"/>
      <c r="AA1008" s="1700"/>
      <c r="AB1008" s="1700"/>
      <c r="AC1008" s="1700"/>
      <c r="AD1008" s="1700"/>
      <c r="AE1008" s="1701"/>
      <c r="AF1008" s="73"/>
      <c r="AI1008" s="83"/>
      <c r="AJ1008" s="1731"/>
      <c r="AK1008" s="1732"/>
      <c r="AL1008" s="1732"/>
      <c r="AM1008" s="1732"/>
      <c r="AN1008" s="1732"/>
      <c r="AO1008" s="1732"/>
      <c r="AP1008" s="1732"/>
      <c r="AQ1008" s="1733"/>
      <c r="AR1008" s="68"/>
      <c r="AS1008" s="68"/>
      <c r="AT1008" s="68"/>
      <c r="AU1008" s="68"/>
      <c r="AV1008" s="68"/>
      <c r="AW1008" s="68"/>
      <c r="AX1008" s="68"/>
    </row>
    <row r="1009" spans="1:52" ht="13" customHeight="1">
      <c r="A1009" s="14"/>
      <c r="B1009" s="73"/>
      <c r="C1009" s="74"/>
      <c r="D1009" s="1699"/>
      <c r="E1009" s="1700"/>
      <c r="F1009" s="1700"/>
      <c r="G1009" s="1700"/>
      <c r="H1009" s="1700"/>
      <c r="I1009" s="1700"/>
      <c r="J1009" s="1700"/>
      <c r="K1009" s="1700"/>
      <c r="L1009" s="1700"/>
      <c r="M1009" s="1700"/>
      <c r="N1009" s="1700"/>
      <c r="O1009" s="1700"/>
      <c r="P1009" s="1700"/>
      <c r="Q1009" s="1700"/>
      <c r="R1009" s="1700"/>
      <c r="S1009" s="1700"/>
      <c r="T1009" s="1700"/>
      <c r="U1009" s="1700"/>
      <c r="V1009" s="1700"/>
      <c r="W1009" s="1700"/>
      <c r="X1009" s="1700"/>
      <c r="Y1009" s="1700"/>
      <c r="Z1009" s="1700"/>
      <c r="AA1009" s="1700"/>
      <c r="AB1009" s="1700"/>
      <c r="AC1009" s="1700"/>
      <c r="AD1009" s="1700"/>
      <c r="AE1009" s="1701"/>
      <c r="AF1009" s="73"/>
      <c r="AG1009" s="14"/>
      <c r="AH1009" s="14"/>
      <c r="AI1009" s="83"/>
      <c r="AJ1009" s="1731"/>
      <c r="AK1009" s="1732"/>
      <c r="AL1009" s="1732"/>
      <c r="AM1009" s="1732"/>
      <c r="AN1009" s="1732"/>
      <c r="AO1009" s="1732"/>
      <c r="AP1009" s="1732"/>
      <c r="AQ1009" s="1733"/>
      <c r="AR1009" s="68"/>
      <c r="AS1009" s="68"/>
      <c r="AT1009" s="68"/>
      <c r="AU1009" s="68"/>
      <c r="AV1009" s="68"/>
      <c r="AW1009" s="68"/>
      <c r="AX1009" s="68"/>
    </row>
    <row r="1010" spans="1:52" ht="13" customHeight="1">
      <c r="A1010" s="14"/>
      <c r="B1010" s="85"/>
      <c r="C1010" s="76"/>
      <c r="D1010" s="1746"/>
      <c r="E1010" s="1747"/>
      <c r="F1010" s="1747"/>
      <c r="G1010" s="1747"/>
      <c r="H1010" s="1747"/>
      <c r="I1010" s="1747"/>
      <c r="J1010" s="1747"/>
      <c r="K1010" s="1747"/>
      <c r="L1010" s="1747"/>
      <c r="M1010" s="1747"/>
      <c r="N1010" s="1747"/>
      <c r="O1010" s="1747"/>
      <c r="P1010" s="1747"/>
      <c r="Q1010" s="1747"/>
      <c r="R1010" s="1747"/>
      <c r="S1010" s="1747"/>
      <c r="T1010" s="1747"/>
      <c r="U1010" s="1747"/>
      <c r="V1010" s="1747"/>
      <c r="W1010" s="1747"/>
      <c r="X1010" s="1747"/>
      <c r="Y1010" s="1747"/>
      <c r="Z1010" s="1747"/>
      <c r="AA1010" s="1747"/>
      <c r="AB1010" s="1747"/>
      <c r="AC1010" s="1747"/>
      <c r="AD1010" s="1747"/>
      <c r="AE1010" s="1748"/>
      <c r="AF1010" s="77"/>
      <c r="AG1010" s="7"/>
      <c r="AH1010" s="7"/>
      <c r="AI1010" s="78"/>
      <c r="AJ1010" s="1734"/>
      <c r="AK1010" s="1735"/>
      <c r="AL1010" s="1735"/>
      <c r="AM1010" s="1735"/>
      <c r="AN1010" s="1735"/>
      <c r="AO1010" s="1735"/>
      <c r="AP1010" s="1735"/>
      <c r="AQ1010" s="1736"/>
      <c r="AR1010" s="68"/>
      <c r="AS1010" s="68"/>
      <c r="AT1010" s="68"/>
      <c r="AU1010" s="68"/>
      <c r="AV1010" s="68"/>
      <c r="AW1010" s="68"/>
      <c r="AX1010" s="68"/>
    </row>
    <row r="1011" spans="1:52" ht="13" customHeight="1">
      <c r="A1011" s="14"/>
      <c r="B1011" s="79"/>
      <c r="C1011" s="80" t="s">
        <v>212</v>
      </c>
      <c r="D1011" s="1768" t="s">
        <v>1286</v>
      </c>
      <c r="E1011" s="1769"/>
      <c r="F1011" s="1769"/>
      <c r="G1011" s="1769"/>
      <c r="H1011" s="1769"/>
      <c r="I1011" s="1769"/>
      <c r="J1011" s="1769"/>
      <c r="K1011" s="1769"/>
      <c r="L1011" s="1769"/>
      <c r="M1011" s="1769"/>
      <c r="N1011" s="1769"/>
      <c r="O1011" s="1769"/>
      <c r="P1011" s="1769"/>
      <c r="Q1011" s="1769"/>
      <c r="R1011" s="1769"/>
      <c r="S1011" s="1769"/>
      <c r="T1011" s="1769"/>
      <c r="U1011" s="1769"/>
      <c r="V1011" s="1769"/>
      <c r="W1011" s="1769"/>
      <c r="X1011" s="1769"/>
      <c r="Y1011" s="1769"/>
      <c r="Z1011" s="1769"/>
      <c r="AA1011" s="1769"/>
      <c r="AB1011" s="1769"/>
      <c r="AC1011" s="1769"/>
      <c r="AD1011" s="1769"/>
      <c r="AE1011" s="1770"/>
      <c r="AF1011" s="79"/>
      <c r="AG1011" s="1754" t="s">
        <v>669</v>
      </c>
      <c r="AH1011" s="1755"/>
      <c r="AI1011" s="87"/>
      <c r="AJ1011" s="1728">
        <f>ROUND(IF(AG1011="yes",AJ992*0.02,0),0)</f>
        <v>0</v>
      </c>
      <c r="AK1011" s="1729"/>
      <c r="AL1011" s="1729"/>
      <c r="AM1011" s="1729"/>
      <c r="AN1011" s="1729"/>
      <c r="AO1011" s="1729"/>
      <c r="AP1011" s="1729"/>
      <c r="AQ1011" s="1730"/>
      <c r="AR1011" s="68"/>
      <c r="AS1011" s="68"/>
      <c r="AT1011" s="68"/>
      <c r="AU1011" s="68"/>
      <c r="AV1011" s="68"/>
      <c r="AW1011" s="68"/>
      <c r="AX1011" s="68"/>
    </row>
    <row r="1012" spans="1:52" ht="14.25" customHeight="1">
      <c r="A1012" s="14"/>
      <c r="B1012" s="73"/>
      <c r="C1012" s="74"/>
      <c r="D1012" s="1746" t="s">
        <v>1287</v>
      </c>
      <c r="E1012" s="1747"/>
      <c r="F1012" s="1747"/>
      <c r="G1012" s="1747"/>
      <c r="H1012" s="1747"/>
      <c r="I1012" s="1747"/>
      <c r="J1012" s="1747"/>
      <c r="K1012" s="1747"/>
      <c r="L1012" s="1747"/>
      <c r="M1012" s="1747"/>
      <c r="N1012" s="1747"/>
      <c r="O1012" s="1747"/>
      <c r="P1012" s="1747"/>
      <c r="Q1012" s="1747"/>
      <c r="R1012" s="1747"/>
      <c r="S1012" s="1747"/>
      <c r="T1012" s="1747"/>
      <c r="U1012" s="1747"/>
      <c r="V1012" s="1747"/>
      <c r="W1012" s="1747"/>
      <c r="X1012" s="1747"/>
      <c r="Y1012" s="1747"/>
      <c r="Z1012" s="1747"/>
      <c r="AA1012" s="1747"/>
      <c r="AB1012" s="1747"/>
      <c r="AC1012" s="1747"/>
      <c r="AD1012" s="1747"/>
      <c r="AE1012" s="1748"/>
      <c r="AF1012" s="77"/>
      <c r="AG1012" s="7"/>
      <c r="AH1012" s="7"/>
      <c r="AI1012" s="78"/>
      <c r="AJ1012" s="1734"/>
      <c r="AK1012" s="1735"/>
      <c r="AL1012" s="1735"/>
      <c r="AM1012" s="1735"/>
      <c r="AN1012" s="1735"/>
      <c r="AO1012" s="1735"/>
      <c r="AP1012" s="1735"/>
      <c r="AQ1012" s="1736"/>
      <c r="AR1012" s="68"/>
      <c r="AS1012" s="68"/>
      <c r="AT1012" s="68"/>
      <c r="AU1012" s="68"/>
      <c r="AV1012" s="68"/>
      <c r="AW1012" s="68"/>
      <c r="AX1012" s="3" t="s">
        <v>1839</v>
      </c>
      <c r="AZ1012" s="3" t="s">
        <v>2606</v>
      </c>
    </row>
    <row r="1013" spans="1:52" ht="13" customHeight="1">
      <c r="A1013" s="14"/>
      <c r="B1013" s="79"/>
      <c r="C1013" s="80" t="s">
        <v>215</v>
      </c>
      <c r="D1013" s="1768" t="s">
        <v>1288</v>
      </c>
      <c r="E1013" s="1769"/>
      <c r="F1013" s="1769"/>
      <c r="G1013" s="1769"/>
      <c r="H1013" s="1769"/>
      <c r="I1013" s="1769"/>
      <c r="J1013" s="1769"/>
      <c r="K1013" s="1769"/>
      <c r="L1013" s="1769"/>
      <c r="M1013" s="1769"/>
      <c r="N1013" s="1769"/>
      <c r="O1013" s="1769"/>
      <c r="P1013" s="1769"/>
      <c r="Q1013" s="1769"/>
      <c r="R1013" s="1769"/>
      <c r="S1013" s="1769"/>
      <c r="T1013" s="1769"/>
      <c r="U1013" s="1769"/>
      <c r="V1013" s="1769"/>
      <c r="W1013" s="1769"/>
      <c r="X1013" s="1769"/>
      <c r="Y1013" s="1769"/>
      <c r="Z1013" s="1769"/>
      <c r="AA1013" s="1769"/>
      <c r="AB1013" s="1769"/>
      <c r="AC1013" s="1769"/>
      <c r="AD1013" s="1769"/>
      <c r="AE1013" s="1770"/>
      <c r="AF1013" s="79"/>
      <c r="AG1013" s="1754" t="s">
        <v>669</v>
      </c>
      <c r="AH1013" s="1755"/>
      <c r="AI1013" s="79"/>
      <c r="AJ1013" s="1728">
        <f>ROUND(IF(AG1013="yes",AJ992*0.02,0),0)</f>
        <v>0</v>
      </c>
      <c r="AK1013" s="1729"/>
      <c r="AL1013" s="1729"/>
      <c r="AM1013" s="1729"/>
      <c r="AN1013" s="1729"/>
      <c r="AO1013" s="1729"/>
      <c r="AP1013" s="1729"/>
      <c r="AQ1013" s="1730"/>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699" t="s">
        <v>1289</v>
      </c>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1"/>
      <c r="AF1014" s="1853" t="str">
        <f>IF(AND(AG1013="yes",T212&lt;&gt;1),"The project may not be eligible for this boost","")</f>
        <v/>
      </c>
      <c r="AG1014" s="1854"/>
      <c r="AH1014" s="1854"/>
      <c r="AI1014" s="1855"/>
      <c r="AJ1014" s="1731"/>
      <c r="AK1014" s="1732"/>
      <c r="AL1014" s="1732"/>
      <c r="AM1014" s="1732"/>
      <c r="AN1014" s="1732"/>
      <c r="AO1014" s="1732"/>
      <c r="AP1014" s="1732"/>
      <c r="AQ1014" s="1733"/>
      <c r="AR1014" s="68"/>
      <c r="AS1014" s="68"/>
      <c r="AT1014" s="68"/>
      <c r="AU1014" s="68"/>
      <c r="AV1014" s="68"/>
      <c r="AW1014" s="68"/>
      <c r="AX1014" s="3">
        <v>2</v>
      </c>
      <c r="AY1014" s="200">
        <f t="shared" ref="AY1014:AY1023" si="56">IF((_xlfn.XLOOKUP(AX1014,$C$1065:$C$1103,$A$1065:$A$1103,"",0,1))="Yes",AZ1014,0)</f>
        <v>0</v>
      </c>
      <c r="AZ1014" s="1255">
        <v>0.15</v>
      </c>
    </row>
    <row r="1015" spans="1:52" ht="13" customHeight="1">
      <c r="A1015" s="14"/>
      <c r="B1015" s="75"/>
      <c r="C1015" s="76"/>
      <c r="D1015" s="1746"/>
      <c r="E1015" s="1747"/>
      <c r="F1015" s="1747"/>
      <c r="G1015" s="1747"/>
      <c r="H1015" s="1747"/>
      <c r="I1015" s="1747"/>
      <c r="J1015" s="1747"/>
      <c r="K1015" s="1747"/>
      <c r="L1015" s="1747"/>
      <c r="M1015" s="1747"/>
      <c r="N1015" s="1747"/>
      <c r="O1015" s="1747"/>
      <c r="P1015" s="1747"/>
      <c r="Q1015" s="1747"/>
      <c r="R1015" s="1747"/>
      <c r="S1015" s="1747"/>
      <c r="T1015" s="1747"/>
      <c r="U1015" s="1747"/>
      <c r="V1015" s="1747"/>
      <c r="W1015" s="1747"/>
      <c r="X1015" s="1747"/>
      <c r="Y1015" s="1747"/>
      <c r="Z1015" s="1747"/>
      <c r="AA1015" s="1747"/>
      <c r="AB1015" s="1747"/>
      <c r="AC1015" s="1747"/>
      <c r="AD1015" s="1747"/>
      <c r="AE1015" s="1748"/>
      <c r="AF1015" s="1856"/>
      <c r="AG1015" s="1857"/>
      <c r="AH1015" s="1857"/>
      <c r="AI1015" s="1858"/>
      <c r="AJ1015" s="1734"/>
      <c r="AK1015" s="1735"/>
      <c r="AL1015" s="1735"/>
      <c r="AM1015" s="1735"/>
      <c r="AN1015" s="1735"/>
      <c r="AO1015" s="1735"/>
      <c r="AP1015" s="1735"/>
      <c r="AQ1015" s="1736"/>
      <c r="AR1015" s="68"/>
      <c r="AS1015" s="68"/>
      <c r="AT1015" s="68"/>
      <c r="AU1015" s="68"/>
      <c r="AV1015" s="68"/>
      <c r="AW1015" s="68"/>
      <c r="AX1015" s="3">
        <v>3</v>
      </c>
      <c r="AY1015" s="200">
        <f t="shared" si="56"/>
        <v>0</v>
      </c>
      <c r="AZ1015" s="1255">
        <v>0.05</v>
      </c>
    </row>
    <row r="1016" spans="1:52" ht="13" customHeight="1">
      <c r="A1016" s="14"/>
      <c r="B1016" s="79"/>
      <c r="C1016" s="80" t="s">
        <v>218</v>
      </c>
      <c r="D1016" s="1737" t="s">
        <v>2235</v>
      </c>
      <c r="E1016" s="1738"/>
      <c r="F1016" s="1738"/>
      <c r="G1016" s="1738"/>
      <c r="H1016" s="1738"/>
      <c r="I1016" s="1738"/>
      <c r="J1016" s="1738"/>
      <c r="K1016" s="1738"/>
      <c r="L1016" s="1738"/>
      <c r="M1016" s="1738"/>
      <c r="N1016" s="1738"/>
      <c r="O1016" s="1738"/>
      <c r="P1016" s="1738"/>
      <c r="Q1016" s="1738"/>
      <c r="R1016" s="1738"/>
      <c r="S1016" s="1738"/>
      <c r="T1016" s="1738"/>
      <c r="U1016" s="1738"/>
      <c r="V1016" s="1738"/>
      <c r="W1016" s="1738"/>
      <c r="X1016" s="1738"/>
      <c r="Y1016" s="1738"/>
      <c r="Z1016" s="1738"/>
      <c r="AA1016" s="1738"/>
      <c r="AB1016" s="1738"/>
      <c r="AC1016" s="1738"/>
      <c r="AD1016" s="1738"/>
      <c r="AE1016" s="1739"/>
      <c r="AF1016" s="79"/>
      <c r="AG1016" s="1754" t="s">
        <v>669</v>
      </c>
      <c r="AH1016" s="1755"/>
      <c r="AI1016" s="87"/>
      <c r="AJ1016" s="1728">
        <f>IF(AG1016="yes",AJ992*AY1024,0)</f>
        <v>0</v>
      </c>
      <c r="AK1016" s="1729"/>
      <c r="AL1016" s="1729"/>
      <c r="AM1016" s="1729"/>
      <c r="AN1016" s="1729"/>
      <c r="AO1016" s="1729"/>
      <c r="AP1016" s="1729"/>
      <c r="AQ1016" s="1730"/>
      <c r="AR1016" s="68"/>
      <c r="AS1016" s="68"/>
      <c r="AT1016" s="68"/>
      <c r="AU1016" s="68"/>
      <c r="AV1016" s="68"/>
      <c r="AW1016" s="68"/>
      <c r="AX1016" s="3">
        <v>4</v>
      </c>
      <c r="AY1016" s="200">
        <f t="shared" si="56"/>
        <v>0</v>
      </c>
      <c r="AZ1016" s="1255">
        <v>0.02</v>
      </c>
    </row>
    <row r="1017" spans="1:52" ht="13" customHeight="1">
      <c r="A1017" s="14"/>
      <c r="B1017" s="73"/>
      <c r="C1017" s="74"/>
      <c r="D1017" s="1699" t="s">
        <v>1290</v>
      </c>
      <c r="E1017" s="1700"/>
      <c r="F1017" s="1700"/>
      <c r="G1017" s="1700"/>
      <c r="H1017" s="1700"/>
      <c r="I1017" s="1700"/>
      <c r="J1017" s="1700"/>
      <c r="K1017" s="1700"/>
      <c r="L1017" s="1700"/>
      <c r="M1017" s="1700"/>
      <c r="N1017" s="1700"/>
      <c r="O1017" s="1700"/>
      <c r="P1017" s="1700"/>
      <c r="Q1017" s="1700"/>
      <c r="R1017" s="1700"/>
      <c r="S1017" s="1700"/>
      <c r="T1017" s="1700"/>
      <c r="U1017" s="1700"/>
      <c r="V1017" s="1700"/>
      <c r="W1017" s="1700"/>
      <c r="X1017" s="1700"/>
      <c r="Y1017" s="1700"/>
      <c r="Z1017" s="1700"/>
      <c r="AA1017" s="1700"/>
      <c r="AB1017" s="1700"/>
      <c r="AC1017" s="1700"/>
      <c r="AD1017" s="1700"/>
      <c r="AE1017" s="1701"/>
      <c r="AF1017" s="1847" t="str">
        <f>IF(AND(AG1016="Yes",AY1024=0),AY1027,"")</f>
        <v/>
      </c>
      <c r="AG1017" s="1848"/>
      <c r="AH1017" s="1848"/>
      <c r="AI1017" s="1849"/>
      <c r="AJ1017" s="1731"/>
      <c r="AK1017" s="1732"/>
      <c r="AL1017" s="1732"/>
      <c r="AM1017" s="1732"/>
      <c r="AN1017" s="1732"/>
      <c r="AO1017" s="1732"/>
      <c r="AP1017" s="1732"/>
      <c r="AQ1017" s="1733"/>
      <c r="AR1017" s="68"/>
      <c r="AS1017" s="68"/>
      <c r="AT1017" s="68"/>
      <c r="AU1017" s="68"/>
      <c r="AV1017" s="68"/>
      <c r="AW1017" s="68"/>
      <c r="AX1017" s="3">
        <v>5</v>
      </c>
      <c r="AY1017" s="200">
        <f t="shared" si="56"/>
        <v>0</v>
      </c>
      <c r="AZ1017" s="1255">
        <v>0.04</v>
      </c>
    </row>
    <row r="1018" spans="1:52" ht="13" customHeight="1">
      <c r="A1018" s="14"/>
      <c r="B1018" s="73"/>
      <c r="C1018" s="74"/>
      <c r="D1018" s="1699"/>
      <c r="E1018" s="1700"/>
      <c r="F1018" s="1700"/>
      <c r="G1018" s="1700"/>
      <c r="H1018" s="1700"/>
      <c r="I1018" s="1700"/>
      <c r="J1018" s="1700"/>
      <c r="K1018" s="1700"/>
      <c r="L1018" s="1700"/>
      <c r="M1018" s="1700"/>
      <c r="N1018" s="1700"/>
      <c r="O1018" s="1700"/>
      <c r="P1018" s="1700"/>
      <c r="Q1018" s="1700"/>
      <c r="R1018" s="1700"/>
      <c r="S1018" s="1700"/>
      <c r="T1018" s="1700"/>
      <c r="U1018" s="1700"/>
      <c r="V1018" s="1700"/>
      <c r="W1018" s="1700"/>
      <c r="X1018" s="1700"/>
      <c r="Y1018" s="1700"/>
      <c r="Z1018" s="1700"/>
      <c r="AA1018" s="1700"/>
      <c r="AB1018" s="1700"/>
      <c r="AC1018" s="1700"/>
      <c r="AD1018" s="1700"/>
      <c r="AE1018" s="1701"/>
      <c r="AF1018" s="1847"/>
      <c r="AG1018" s="1848"/>
      <c r="AH1018" s="1848"/>
      <c r="AI1018" s="1849"/>
      <c r="AJ1018" s="1731"/>
      <c r="AK1018" s="1732"/>
      <c r="AL1018" s="1732"/>
      <c r="AM1018" s="1732"/>
      <c r="AN1018" s="1732"/>
      <c r="AO1018" s="1732"/>
      <c r="AP1018" s="1732"/>
      <c r="AQ1018" s="1733"/>
      <c r="AR1018" s="68"/>
      <c r="AS1018" s="68"/>
      <c r="AT1018" s="68"/>
      <c r="AU1018" s="68"/>
      <c r="AV1018" s="68"/>
      <c r="AW1018" s="68"/>
      <c r="AX1018" s="3">
        <v>6</v>
      </c>
      <c r="AY1018" s="200">
        <f t="shared" si="56"/>
        <v>0</v>
      </c>
      <c r="AZ1018" s="1255">
        <v>0.04</v>
      </c>
    </row>
    <row r="1019" spans="1:52" ht="13" customHeight="1">
      <c r="A1019" s="14"/>
      <c r="B1019" s="81"/>
      <c r="C1019" s="82"/>
      <c r="D1019" s="1746"/>
      <c r="E1019" s="1747"/>
      <c r="F1019" s="1747"/>
      <c r="G1019" s="1747"/>
      <c r="H1019" s="1747"/>
      <c r="I1019" s="1747"/>
      <c r="J1019" s="1747"/>
      <c r="K1019" s="1747"/>
      <c r="L1019" s="1747"/>
      <c r="M1019" s="1747"/>
      <c r="N1019" s="1747"/>
      <c r="O1019" s="1747"/>
      <c r="P1019" s="1747"/>
      <c r="Q1019" s="1747"/>
      <c r="R1019" s="1747"/>
      <c r="S1019" s="1747"/>
      <c r="T1019" s="1747"/>
      <c r="U1019" s="1747"/>
      <c r="V1019" s="1747"/>
      <c r="W1019" s="1747"/>
      <c r="X1019" s="1747"/>
      <c r="Y1019" s="1747"/>
      <c r="Z1019" s="1747"/>
      <c r="AA1019" s="1747"/>
      <c r="AB1019" s="1747"/>
      <c r="AC1019" s="1747"/>
      <c r="AD1019" s="1747"/>
      <c r="AE1019" s="1748"/>
      <c r="AF1019" s="1850"/>
      <c r="AG1019" s="1851"/>
      <c r="AH1019" s="1851"/>
      <c r="AI1019" s="1852"/>
      <c r="AJ1019" s="1734"/>
      <c r="AK1019" s="1735"/>
      <c r="AL1019" s="1735"/>
      <c r="AM1019" s="1735"/>
      <c r="AN1019" s="1735"/>
      <c r="AO1019" s="1735"/>
      <c r="AP1019" s="1735"/>
      <c r="AQ1019" s="1736"/>
      <c r="AR1019" s="68"/>
      <c r="AS1019" s="68"/>
      <c r="AT1019" s="68"/>
      <c r="AU1019" s="68"/>
      <c r="AV1019" s="68"/>
      <c r="AW1019" s="68"/>
      <c r="AX1019" s="3">
        <v>7</v>
      </c>
      <c r="AY1019" s="200">
        <f t="shared" si="56"/>
        <v>0</v>
      </c>
      <c r="AZ1019" s="1255">
        <v>0.01</v>
      </c>
    </row>
    <row r="1020" spans="1:52" ht="13" customHeight="1">
      <c r="A1020" s="14"/>
      <c r="B1020" s="79"/>
      <c r="C1020" s="80" t="s">
        <v>223</v>
      </c>
      <c r="D1020" s="1816" t="s">
        <v>1291</v>
      </c>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79"/>
      <c r="AG1020" s="1754" t="s">
        <v>669</v>
      </c>
      <c r="AH1020" s="1755"/>
      <c r="AI1020" s="87"/>
      <c r="AJ1020" s="1728">
        <f>ROUND(IF(AND(AG1020="Yes",J1024&lt;&gt;"N/A",AF1023&lt;&gt;""),MIN(AF1023,(0.15*AJ992)),0),0)</f>
        <v>0</v>
      </c>
      <c r="AK1020" s="1729"/>
      <c r="AL1020" s="1729"/>
      <c r="AM1020" s="1729"/>
      <c r="AN1020" s="1729"/>
      <c r="AO1020" s="1729"/>
      <c r="AP1020" s="1729"/>
      <c r="AQ1020" s="1730"/>
      <c r="AR1020" s="68"/>
      <c r="AS1020" s="68"/>
      <c r="AT1020" s="68"/>
      <c r="AU1020" s="68"/>
      <c r="AV1020" s="68"/>
      <c r="AW1020" s="68"/>
      <c r="AX1020" s="3">
        <v>8</v>
      </c>
      <c r="AY1020" s="200">
        <f t="shared" si="56"/>
        <v>0</v>
      </c>
      <c r="AZ1020" s="1255">
        <v>0.01</v>
      </c>
    </row>
    <row r="1021" spans="1:52" ht="13" customHeight="1">
      <c r="A1021" s="14"/>
      <c r="B1021" s="81"/>
      <c r="C1021" s="84"/>
      <c r="D1021" s="1819"/>
      <c r="E1021" s="1820"/>
      <c r="F1021" s="1820"/>
      <c r="G1021" s="1820"/>
      <c r="H1021" s="1820"/>
      <c r="I1021" s="1820"/>
      <c r="J1021" s="1820"/>
      <c r="K1021" s="1820"/>
      <c r="L1021" s="1820"/>
      <c r="M1021" s="1820"/>
      <c r="N1021" s="1820"/>
      <c r="O1021" s="1820"/>
      <c r="P1021" s="1820"/>
      <c r="Q1021" s="1820"/>
      <c r="R1021" s="1820"/>
      <c r="S1021" s="1820"/>
      <c r="T1021" s="1820"/>
      <c r="U1021" s="1820"/>
      <c r="V1021" s="1820"/>
      <c r="W1021" s="1820"/>
      <c r="X1021" s="1820"/>
      <c r="Y1021" s="1820"/>
      <c r="Z1021" s="1820"/>
      <c r="AA1021" s="1820"/>
      <c r="AB1021" s="1820"/>
      <c r="AC1021" s="1820"/>
      <c r="AD1021" s="1820"/>
      <c r="AE1021" s="1821"/>
      <c r="AF1021" s="1833" t="str">
        <f>IF(AG1020="yes","Please Select Type and Enter Amount:","")</f>
        <v/>
      </c>
      <c r="AG1021" s="1834"/>
      <c r="AH1021" s="1834"/>
      <c r="AI1021" s="1835"/>
      <c r="AJ1021" s="1731"/>
      <c r="AK1021" s="1732"/>
      <c r="AL1021" s="1732"/>
      <c r="AM1021" s="1732"/>
      <c r="AN1021" s="1732"/>
      <c r="AO1021" s="1732"/>
      <c r="AP1021" s="1732"/>
      <c r="AQ1021" s="1733"/>
      <c r="AR1021" s="68"/>
      <c r="AS1021" s="68"/>
      <c r="AT1021" s="68"/>
      <c r="AU1021" s="68"/>
      <c r="AV1021" s="68"/>
      <c r="AW1021" s="68"/>
      <c r="AX1021" s="3">
        <v>9</v>
      </c>
      <c r="AY1021" s="200">
        <f t="shared" si="56"/>
        <v>0</v>
      </c>
      <c r="AZ1021" s="1255">
        <v>0.01</v>
      </c>
    </row>
    <row r="1022" spans="1:52" ht="13" customHeight="1">
      <c r="A1022" s="14"/>
      <c r="B1022" s="81"/>
      <c r="C1022" s="84"/>
      <c r="D1022" s="1699" t="s">
        <v>1292</v>
      </c>
      <c r="E1022" s="1700"/>
      <c r="F1022" s="1700"/>
      <c r="G1022" s="1700"/>
      <c r="H1022" s="1700"/>
      <c r="I1022" s="1700"/>
      <c r="J1022" s="1700"/>
      <c r="K1022" s="1700"/>
      <c r="L1022" s="1700"/>
      <c r="M1022" s="1700"/>
      <c r="N1022" s="1700"/>
      <c r="O1022" s="1700"/>
      <c r="P1022" s="1700"/>
      <c r="Q1022" s="1700"/>
      <c r="R1022" s="1700"/>
      <c r="S1022" s="1700"/>
      <c r="T1022" s="1700"/>
      <c r="U1022" s="1700"/>
      <c r="V1022" s="1700"/>
      <c r="W1022" s="1700"/>
      <c r="X1022" s="1700"/>
      <c r="Y1022" s="1700"/>
      <c r="Z1022" s="1700"/>
      <c r="AA1022" s="1700"/>
      <c r="AB1022" s="1700"/>
      <c r="AC1022" s="1700"/>
      <c r="AD1022" s="1700"/>
      <c r="AE1022" s="1701"/>
      <c r="AF1022" s="1833"/>
      <c r="AG1022" s="1834"/>
      <c r="AH1022" s="1834"/>
      <c r="AI1022" s="1835"/>
      <c r="AJ1022" s="1731"/>
      <c r="AK1022" s="1732"/>
      <c r="AL1022" s="1732"/>
      <c r="AM1022" s="1732"/>
      <c r="AN1022" s="1732"/>
      <c r="AO1022" s="1732"/>
      <c r="AP1022" s="1732"/>
      <c r="AQ1022" s="1733"/>
      <c r="AR1022" s="68"/>
      <c r="AS1022" s="68"/>
      <c r="AT1022" s="68"/>
      <c r="AU1022" s="68"/>
      <c r="AV1022" s="68"/>
      <c r="AW1022" s="68"/>
      <c r="AX1022" s="3">
        <v>10</v>
      </c>
      <c r="AY1022" s="200">
        <f t="shared" si="56"/>
        <v>0</v>
      </c>
      <c r="AZ1022" s="1255">
        <v>0.02</v>
      </c>
    </row>
    <row r="1023" spans="1:52" ht="13" customHeight="1">
      <c r="A1023" s="14"/>
      <c r="B1023" s="81"/>
      <c r="C1023" s="84"/>
      <c r="D1023" s="1699"/>
      <c r="E1023" s="1700"/>
      <c r="F1023" s="1700"/>
      <c r="G1023" s="1700"/>
      <c r="H1023" s="1700"/>
      <c r="I1023" s="1700"/>
      <c r="J1023" s="1700"/>
      <c r="K1023" s="1700"/>
      <c r="L1023" s="1700"/>
      <c r="M1023" s="1700"/>
      <c r="N1023" s="1700"/>
      <c r="O1023" s="1700"/>
      <c r="P1023" s="1700"/>
      <c r="Q1023" s="1700"/>
      <c r="R1023" s="1700"/>
      <c r="S1023" s="1700"/>
      <c r="T1023" s="1700"/>
      <c r="U1023" s="1700"/>
      <c r="V1023" s="1700"/>
      <c r="W1023" s="1700"/>
      <c r="X1023" s="1700"/>
      <c r="Y1023" s="1700"/>
      <c r="Z1023" s="1700"/>
      <c r="AA1023" s="1700"/>
      <c r="AB1023" s="1700"/>
      <c r="AC1023" s="1700"/>
      <c r="AD1023" s="1700"/>
      <c r="AE1023" s="1701"/>
      <c r="AF1023" s="1777"/>
      <c r="AG1023" s="1777"/>
      <c r="AH1023" s="1777"/>
      <c r="AI1023" s="1777"/>
      <c r="AJ1023" s="1731"/>
      <c r="AK1023" s="1732"/>
      <c r="AL1023" s="1732"/>
      <c r="AM1023" s="1732"/>
      <c r="AN1023" s="1732"/>
      <c r="AO1023" s="1732"/>
      <c r="AP1023" s="1732"/>
      <c r="AQ1023" s="1733"/>
      <c r="AR1023" s="68"/>
      <c r="AS1023" s="68"/>
      <c r="AT1023" s="68"/>
      <c r="AU1023" s="68"/>
      <c r="AV1023" s="68"/>
      <c r="AW1023" s="68"/>
      <c r="AX1023" s="3">
        <v>11</v>
      </c>
      <c r="AY1023" s="200">
        <f t="shared" si="56"/>
        <v>0</v>
      </c>
      <c r="AZ1023" s="1255">
        <v>0.02</v>
      </c>
    </row>
    <row r="1024" spans="1:52" ht="13" customHeight="1">
      <c r="A1024" s="14"/>
      <c r="B1024" s="81"/>
      <c r="C1024" s="84"/>
      <c r="D1024" s="526" t="s">
        <v>359</v>
      </c>
      <c r="E1024" s="90"/>
      <c r="F1024" s="90"/>
      <c r="G1024" s="104"/>
      <c r="H1024" s="104"/>
      <c r="I1024" s="49"/>
      <c r="J1024" s="1825" t="s">
        <v>591</v>
      </c>
      <c r="K1024" s="1826"/>
      <c r="L1024" s="1826"/>
      <c r="M1024" s="1826"/>
      <c r="N1024" s="1826"/>
      <c r="O1024" s="1826"/>
      <c r="P1024" s="1826"/>
      <c r="Q1024" s="1826"/>
      <c r="R1024" s="1826"/>
      <c r="S1024" s="1826"/>
      <c r="T1024" s="1826"/>
      <c r="U1024" s="1826"/>
      <c r="V1024" s="1826"/>
      <c r="W1024" s="1826"/>
      <c r="X1024" s="1826"/>
      <c r="Y1024" s="1826"/>
      <c r="Z1024" s="1826"/>
      <c r="AA1024" s="1826"/>
      <c r="AB1024" s="1826"/>
      <c r="AC1024" s="1826"/>
      <c r="AD1024" s="1826"/>
      <c r="AE1024" s="1827"/>
      <c r="AF1024" s="1777"/>
      <c r="AG1024" s="1777"/>
      <c r="AH1024" s="1777"/>
      <c r="AI1024" s="1777"/>
      <c r="AJ1024" s="1734"/>
      <c r="AK1024" s="1735"/>
      <c r="AL1024" s="1735"/>
      <c r="AM1024" s="1735"/>
      <c r="AN1024" s="1735"/>
      <c r="AO1024" s="1735"/>
      <c r="AP1024" s="1735"/>
      <c r="AQ1024" s="1736"/>
      <c r="AR1024" s="68"/>
      <c r="AS1024" s="68"/>
      <c r="AT1024" s="68"/>
      <c r="AU1024" s="68"/>
      <c r="AV1024" s="68"/>
      <c r="AW1024" s="68"/>
      <c r="AX1024" s="1032" t="s">
        <v>2605</v>
      </c>
      <c r="AY1024" s="201">
        <f>IF(SUM(AY1015:AY1023)&lt;=0.2,SUM(AY1015:AY1023),0.2)</f>
        <v>0</v>
      </c>
    </row>
    <row r="1025" spans="1:57" ht="13" customHeight="1">
      <c r="A1025" s="14"/>
      <c r="B1025" s="79"/>
      <c r="C1025" s="80" t="s">
        <v>229</v>
      </c>
      <c r="D1025" s="1768" t="s">
        <v>1293</v>
      </c>
      <c r="E1025" s="1769"/>
      <c r="F1025" s="1769"/>
      <c r="G1025" s="1769"/>
      <c r="H1025" s="1769"/>
      <c r="I1025" s="1769"/>
      <c r="J1025" s="1769"/>
      <c r="K1025" s="1769"/>
      <c r="L1025" s="1769"/>
      <c r="M1025" s="1769"/>
      <c r="N1025" s="1769"/>
      <c r="O1025" s="1769"/>
      <c r="P1025" s="1769"/>
      <c r="Q1025" s="1769"/>
      <c r="R1025" s="1769"/>
      <c r="S1025" s="1769"/>
      <c r="T1025" s="1769"/>
      <c r="U1025" s="1769"/>
      <c r="V1025" s="1769"/>
      <c r="W1025" s="1769"/>
      <c r="X1025" s="1769"/>
      <c r="Y1025" s="1769"/>
      <c r="Z1025" s="1769"/>
      <c r="AA1025" s="1769"/>
      <c r="AB1025" s="1769"/>
      <c r="AC1025" s="1769"/>
      <c r="AD1025" s="1769"/>
      <c r="AE1025" s="1770"/>
      <c r="AF1025" s="79"/>
      <c r="AG1025" s="1754" t="s">
        <v>545</v>
      </c>
      <c r="AH1025" s="1755"/>
      <c r="AI1025" s="87"/>
      <c r="AJ1025" s="1728">
        <f>ROUND(IF(AG1025="Yes",AF1027,0),0)</f>
        <v>1497109</v>
      </c>
      <c r="AK1025" s="1729"/>
      <c r="AL1025" s="1729"/>
      <c r="AM1025" s="1729"/>
      <c r="AN1025" s="1729"/>
      <c r="AO1025" s="1729"/>
      <c r="AP1025" s="1729"/>
      <c r="AQ1025" s="1730"/>
      <c r="AR1025" s="68"/>
      <c r="AS1025" s="68"/>
      <c r="AT1025" s="68"/>
      <c r="AU1025" s="68"/>
      <c r="AV1025" s="68"/>
      <c r="AW1025" s="68"/>
      <c r="AX1025" s="68"/>
      <c r="AY1025" s="68"/>
    </row>
    <row r="1026" spans="1:57" ht="13" customHeight="1">
      <c r="A1026" s="14"/>
      <c r="B1026" s="73"/>
      <c r="C1026" s="74"/>
      <c r="D1026" s="1699" t="s">
        <v>1688</v>
      </c>
      <c r="E1026" s="1700"/>
      <c r="F1026" s="1700"/>
      <c r="G1026" s="1700"/>
      <c r="H1026" s="1700"/>
      <c r="I1026" s="1700"/>
      <c r="J1026" s="1700"/>
      <c r="K1026" s="1700"/>
      <c r="L1026" s="1700"/>
      <c r="M1026" s="1700"/>
      <c r="N1026" s="1700"/>
      <c r="O1026" s="1700"/>
      <c r="P1026" s="1700"/>
      <c r="Q1026" s="1700"/>
      <c r="R1026" s="1700"/>
      <c r="S1026" s="1700"/>
      <c r="T1026" s="1700"/>
      <c r="U1026" s="1700"/>
      <c r="V1026" s="1700"/>
      <c r="W1026" s="1700"/>
      <c r="X1026" s="1700"/>
      <c r="Y1026" s="1700"/>
      <c r="Z1026" s="1700"/>
      <c r="AA1026" s="1700"/>
      <c r="AB1026" s="1700"/>
      <c r="AC1026" s="1700"/>
      <c r="AD1026" s="1700"/>
      <c r="AE1026" s="1701"/>
      <c r="AF1026" s="1822" t="str">
        <f>IF(AG1025="yes","Enter Amount:","")</f>
        <v>Enter Amount:</v>
      </c>
      <c r="AG1026" s="1823"/>
      <c r="AH1026" s="1823"/>
      <c r="AI1026" s="1824"/>
      <c r="AJ1026" s="1731"/>
      <c r="AK1026" s="1732"/>
      <c r="AL1026" s="1732"/>
      <c r="AM1026" s="1732"/>
      <c r="AN1026" s="1732"/>
      <c r="AO1026" s="1732"/>
      <c r="AP1026" s="1732"/>
      <c r="AQ1026" s="1733"/>
      <c r="AR1026" s="68"/>
      <c r="AS1026" s="68"/>
      <c r="AT1026" s="68"/>
      <c r="AU1026" s="68"/>
      <c r="AV1026" s="68"/>
      <c r="AW1026" s="68"/>
      <c r="AX1026" s="68"/>
      <c r="AY1026" s="68"/>
    </row>
    <row r="1027" spans="1:57" ht="13" customHeight="1">
      <c r="A1027" s="14"/>
      <c r="B1027" s="73"/>
      <c r="C1027" s="74"/>
      <c r="D1027" s="1699"/>
      <c r="E1027" s="1700"/>
      <c r="F1027" s="1700"/>
      <c r="G1027" s="1700"/>
      <c r="H1027" s="1700"/>
      <c r="I1027" s="1700"/>
      <c r="J1027" s="1700"/>
      <c r="K1027" s="1700"/>
      <c r="L1027" s="1700"/>
      <c r="M1027" s="1700"/>
      <c r="N1027" s="1700"/>
      <c r="O1027" s="1700"/>
      <c r="P1027" s="1700"/>
      <c r="Q1027" s="1700"/>
      <c r="R1027" s="1700"/>
      <c r="S1027" s="1700"/>
      <c r="T1027" s="1700"/>
      <c r="U1027" s="1700"/>
      <c r="V1027" s="1700"/>
      <c r="W1027" s="1700"/>
      <c r="X1027" s="1700"/>
      <c r="Y1027" s="1700"/>
      <c r="Z1027" s="1700"/>
      <c r="AA1027" s="1700"/>
      <c r="AB1027" s="1700"/>
      <c r="AC1027" s="1700"/>
      <c r="AD1027" s="1700"/>
      <c r="AE1027" s="1701"/>
      <c r="AF1027" s="1777">
        <v>1497109</v>
      </c>
      <c r="AG1027" s="1777"/>
      <c r="AH1027" s="1777"/>
      <c r="AI1027" s="1777"/>
      <c r="AJ1027" s="1731"/>
      <c r="AK1027" s="1732"/>
      <c r="AL1027" s="1732"/>
      <c r="AM1027" s="1732"/>
      <c r="AN1027" s="1732"/>
      <c r="AO1027" s="1732"/>
      <c r="AP1027" s="1732"/>
      <c r="AQ1027" s="1733"/>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6"/>
      <c r="E1028" s="1747"/>
      <c r="F1028" s="1747"/>
      <c r="G1028" s="1747"/>
      <c r="H1028" s="1747"/>
      <c r="I1028" s="1747"/>
      <c r="J1028" s="1747"/>
      <c r="K1028" s="1747"/>
      <c r="L1028" s="1747"/>
      <c r="M1028" s="1747"/>
      <c r="N1028" s="1747"/>
      <c r="O1028" s="1747"/>
      <c r="P1028" s="1747"/>
      <c r="Q1028" s="1747"/>
      <c r="R1028" s="1747"/>
      <c r="S1028" s="1747"/>
      <c r="T1028" s="1747"/>
      <c r="U1028" s="1747"/>
      <c r="V1028" s="1747"/>
      <c r="W1028" s="1747"/>
      <c r="X1028" s="1747"/>
      <c r="Y1028" s="1747"/>
      <c r="Z1028" s="1747"/>
      <c r="AA1028" s="1747"/>
      <c r="AB1028" s="1747"/>
      <c r="AC1028" s="1747"/>
      <c r="AD1028" s="1747"/>
      <c r="AE1028" s="1748"/>
      <c r="AF1028" s="1777"/>
      <c r="AG1028" s="1777"/>
      <c r="AH1028" s="1777"/>
      <c r="AI1028" s="1777"/>
      <c r="AJ1028" s="1734"/>
      <c r="AK1028" s="1735"/>
      <c r="AL1028" s="1735"/>
      <c r="AM1028" s="1735"/>
      <c r="AN1028" s="1735"/>
      <c r="AO1028" s="1735"/>
      <c r="AP1028" s="1735"/>
      <c r="AQ1028" s="1736"/>
      <c r="AR1028" s="68"/>
      <c r="AS1028" s="68"/>
      <c r="AT1028" s="68"/>
      <c r="AU1028" s="68"/>
      <c r="AV1028" s="68"/>
      <c r="AW1028" s="68"/>
      <c r="AX1028" s="68"/>
      <c r="AY1028" s="68"/>
    </row>
    <row r="1029" spans="1:57" ht="13" customHeight="1">
      <c r="A1029" s="14"/>
      <c r="B1029" s="79"/>
      <c r="C1029" s="80" t="s">
        <v>234</v>
      </c>
      <c r="D1029" s="1737" t="s">
        <v>1294</v>
      </c>
      <c r="E1029" s="1738"/>
      <c r="F1029" s="1738"/>
      <c r="G1029" s="1738"/>
      <c r="H1029" s="1738"/>
      <c r="I1029" s="1738"/>
      <c r="J1029" s="1738"/>
      <c r="K1029" s="1738"/>
      <c r="L1029" s="1738"/>
      <c r="M1029" s="1738"/>
      <c r="N1029" s="1738"/>
      <c r="O1029" s="1738"/>
      <c r="P1029" s="1738"/>
      <c r="Q1029" s="1738"/>
      <c r="R1029" s="1738"/>
      <c r="S1029" s="1738"/>
      <c r="T1029" s="1738"/>
      <c r="U1029" s="1738"/>
      <c r="V1029" s="1738"/>
      <c r="W1029" s="1738"/>
      <c r="X1029" s="1738"/>
      <c r="Y1029" s="1738"/>
      <c r="Z1029" s="1738"/>
      <c r="AA1029" s="1738"/>
      <c r="AB1029" s="1738"/>
      <c r="AC1029" s="1738"/>
      <c r="AD1029" s="1738"/>
      <c r="AE1029" s="1739"/>
      <c r="AF1029" s="79"/>
      <c r="AG1029" s="1754" t="s">
        <v>545</v>
      </c>
      <c r="AH1029" s="1755"/>
      <c r="AI1029" s="87"/>
      <c r="AJ1029" s="1728">
        <f>ROUND(IF(AG1029="yes",(AJ992*0.1),0),0)</f>
        <v>5001154</v>
      </c>
      <c r="AK1029" s="1729"/>
      <c r="AL1029" s="1729"/>
      <c r="AM1029" s="1729"/>
      <c r="AN1029" s="1729"/>
      <c r="AO1029" s="1729"/>
      <c r="AP1029" s="1729"/>
      <c r="AQ1029" s="1730"/>
      <c r="AR1029" s="68"/>
      <c r="AS1029" s="68"/>
      <c r="AT1029" s="68"/>
      <c r="AU1029" s="68"/>
      <c r="AV1029" s="68"/>
      <c r="AW1029" s="68"/>
      <c r="AX1029" s="68"/>
      <c r="AY1029" s="68"/>
    </row>
    <row r="1030" spans="1:57" ht="13" customHeight="1">
      <c r="A1030" s="14"/>
      <c r="B1030" s="73"/>
      <c r="C1030" s="74"/>
      <c r="D1030" s="1699" t="s">
        <v>1295</v>
      </c>
      <c r="E1030" s="1700"/>
      <c r="F1030" s="1700"/>
      <c r="G1030" s="1700"/>
      <c r="H1030" s="1700"/>
      <c r="I1030" s="1700"/>
      <c r="J1030" s="1700"/>
      <c r="K1030" s="1700"/>
      <c r="L1030" s="1700"/>
      <c r="M1030" s="1700"/>
      <c r="N1030" s="1700"/>
      <c r="O1030" s="1700"/>
      <c r="P1030" s="1700"/>
      <c r="Q1030" s="1700"/>
      <c r="R1030" s="1700"/>
      <c r="S1030" s="1700"/>
      <c r="T1030" s="1700"/>
      <c r="U1030" s="1700"/>
      <c r="V1030" s="1700"/>
      <c r="W1030" s="1700"/>
      <c r="X1030" s="1700"/>
      <c r="Y1030" s="1700"/>
      <c r="Z1030" s="1700"/>
      <c r="AA1030" s="1700"/>
      <c r="AB1030" s="1700"/>
      <c r="AC1030" s="1700"/>
      <c r="AD1030" s="1700"/>
      <c r="AE1030" s="1701"/>
      <c r="AF1030" s="73"/>
      <c r="AG1030" s="14"/>
      <c r="AH1030" s="14"/>
      <c r="AI1030" s="83"/>
      <c r="AJ1030" s="1731"/>
      <c r="AK1030" s="1732"/>
      <c r="AL1030" s="1732"/>
      <c r="AM1030" s="1732"/>
      <c r="AN1030" s="1732"/>
      <c r="AO1030" s="1732"/>
      <c r="AP1030" s="1732"/>
      <c r="AQ1030" s="1733"/>
      <c r="AR1030" s="68"/>
      <c r="AS1030" s="68"/>
      <c r="AT1030" s="68"/>
      <c r="AU1030" s="68"/>
      <c r="AV1030" s="68"/>
      <c r="AW1030" s="68"/>
      <c r="AX1030" s="68"/>
      <c r="AY1030" s="68"/>
    </row>
    <row r="1031" spans="1:57" ht="13" customHeight="1">
      <c r="A1031" s="14"/>
      <c r="B1031" s="77"/>
      <c r="C1031" s="74"/>
      <c r="D1031" s="1746"/>
      <c r="E1031" s="1747"/>
      <c r="F1031" s="1747"/>
      <c r="G1031" s="1747"/>
      <c r="H1031" s="1747"/>
      <c r="I1031" s="1747"/>
      <c r="J1031" s="1747"/>
      <c r="K1031" s="1747"/>
      <c r="L1031" s="1747"/>
      <c r="M1031" s="1747"/>
      <c r="N1031" s="1747"/>
      <c r="O1031" s="1747"/>
      <c r="P1031" s="1747"/>
      <c r="Q1031" s="1747"/>
      <c r="R1031" s="1747"/>
      <c r="S1031" s="1747"/>
      <c r="T1031" s="1747"/>
      <c r="U1031" s="1747"/>
      <c r="V1031" s="1747"/>
      <c r="W1031" s="1747"/>
      <c r="X1031" s="1747"/>
      <c r="Y1031" s="1747"/>
      <c r="Z1031" s="1747"/>
      <c r="AA1031" s="1747"/>
      <c r="AB1031" s="1747"/>
      <c r="AC1031" s="1747"/>
      <c r="AD1031" s="1747"/>
      <c r="AE1031" s="1748"/>
      <c r="AF1031" s="73"/>
      <c r="AG1031" s="14"/>
      <c r="AH1031" s="14"/>
      <c r="AI1031" s="83"/>
      <c r="AJ1031" s="1734"/>
      <c r="AK1031" s="1735"/>
      <c r="AL1031" s="1735"/>
      <c r="AM1031" s="1735"/>
      <c r="AN1031" s="1735"/>
      <c r="AO1031" s="1735"/>
      <c r="AP1031" s="1735"/>
      <c r="AQ1031" s="1736"/>
      <c r="AR1031" s="68"/>
      <c r="AS1031" s="68"/>
      <c r="AT1031" s="68"/>
      <c r="AU1031" s="68"/>
      <c r="AV1031" s="68"/>
      <c r="AW1031" s="68"/>
      <c r="AX1031" s="68"/>
      <c r="AY1031" s="68"/>
    </row>
    <row r="1032" spans="1:57" ht="13" customHeight="1">
      <c r="A1032" s="14"/>
      <c r="B1032" s="73"/>
      <c r="C1032" s="339" t="s">
        <v>687</v>
      </c>
      <c r="D1032" s="1768" t="s">
        <v>1684</v>
      </c>
      <c r="E1032" s="1769"/>
      <c r="F1032" s="1769"/>
      <c r="G1032" s="1769"/>
      <c r="H1032" s="1769"/>
      <c r="I1032" s="1769"/>
      <c r="J1032" s="1769"/>
      <c r="K1032" s="1769"/>
      <c r="L1032" s="1769"/>
      <c r="M1032" s="1769"/>
      <c r="N1032" s="1769"/>
      <c r="O1032" s="1769"/>
      <c r="P1032" s="1769"/>
      <c r="Q1032" s="1769"/>
      <c r="R1032" s="1769"/>
      <c r="S1032" s="1769"/>
      <c r="T1032" s="1769"/>
      <c r="U1032" s="1769"/>
      <c r="V1032" s="1769"/>
      <c r="W1032" s="1769"/>
      <c r="X1032" s="1769"/>
      <c r="Y1032" s="1769"/>
      <c r="Z1032" s="1769"/>
      <c r="AA1032" s="1769"/>
      <c r="AB1032" s="1769"/>
      <c r="AC1032" s="1769"/>
      <c r="AD1032" s="1769"/>
      <c r="AE1032" s="1770"/>
      <c r="AF1032" s="79"/>
      <c r="AG1032" s="1754" t="s">
        <v>669</v>
      </c>
      <c r="AH1032" s="1755"/>
      <c r="AI1032" s="87"/>
      <c r="AJ1032" s="1728">
        <f>ROUND(IF(AG1032="yes",(AJ992*0.15),0),0)</f>
        <v>0</v>
      </c>
      <c r="AK1032" s="1729"/>
      <c r="AL1032" s="1729"/>
      <c r="AM1032" s="1729"/>
      <c r="AN1032" s="1729"/>
      <c r="AO1032" s="1729"/>
      <c r="AP1032" s="1729"/>
      <c r="AQ1032" s="1730"/>
      <c r="AR1032" s="68"/>
      <c r="AS1032" s="68"/>
      <c r="AT1032" s="68"/>
      <c r="AU1032" s="68"/>
      <c r="AV1032" s="68"/>
      <c r="AW1032" s="68"/>
      <c r="AX1032" s="68"/>
      <c r="AY1032" s="68"/>
    </row>
    <row r="1033" spans="1:57" ht="13" customHeight="1">
      <c r="A1033" s="14"/>
      <c r="B1033" s="73"/>
      <c r="C1033" s="74"/>
      <c r="D1033" s="1805" t="s">
        <v>1685</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06"/>
      <c r="AF1033" s="915"/>
      <c r="AG1033" s="916"/>
      <c r="AH1033" s="916"/>
      <c r="AI1033" s="917"/>
      <c r="AJ1033" s="1731"/>
      <c r="AK1033" s="1732"/>
      <c r="AL1033" s="1732"/>
      <c r="AM1033" s="1732"/>
      <c r="AN1033" s="1732"/>
      <c r="AO1033" s="1732"/>
      <c r="AP1033" s="1732"/>
      <c r="AQ1033" s="1733"/>
      <c r="AR1033" s="68"/>
      <c r="AS1033" s="68"/>
      <c r="AT1033" s="68"/>
      <c r="AU1033" s="68"/>
      <c r="AV1033" s="68"/>
      <c r="AW1033" s="68"/>
      <c r="AX1033" s="68"/>
      <c r="AY1033" s="68"/>
    </row>
    <row r="1034" spans="1:57" ht="13" customHeight="1">
      <c r="A1034" s="14"/>
      <c r="B1034" s="73"/>
      <c r="C1034" s="74"/>
      <c r="D1034" s="1805"/>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06"/>
      <c r="AF1034" s="915"/>
      <c r="AG1034" s="916"/>
      <c r="AH1034" s="916"/>
      <c r="AI1034" s="917"/>
      <c r="AJ1034" s="1731"/>
      <c r="AK1034" s="1732"/>
      <c r="AL1034" s="1732"/>
      <c r="AM1034" s="1732"/>
      <c r="AN1034" s="1732"/>
      <c r="AO1034" s="1732"/>
      <c r="AP1034" s="1732"/>
      <c r="AQ1034" s="1733"/>
      <c r="AR1034" s="68"/>
      <c r="AS1034" s="68"/>
      <c r="AT1034" s="68"/>
      <c r="AU1034" s="68"/>
      <c r="AV1034" s="68"/>
      <c r="AW1034" s="68"/>
      <c r="AX1034" s="68"/>
      <c r="AY1034" s="68"/>
    </row>
    <row r="1035" spans="1:57" ht="13" customHeight="1">
      <c r="A1035" s="14"/>
      <c r="B1035" s="73"/>
      <c r="C1035" s="74"/>
      <c r="D1035" s="1807"/>
      <c r="E1035" s="1808"/>
      <c r="F1035" s="1808"/>
      <c r="G1035" s="1808"/>
      <c r="H1035" s="1808"/>
      <c r="I1035" s="1808"/>
      <c r="J1035" s="1808"/>
      <c r="K1035" s="1808"/>
      <c r="L1035" s="1808"/>
      <c r="M1035" s="1808"/>
      <c r="N1035" s="1808"/>
      <c r="O1035" s="1808"/>
      <c r="P1035" s="1808"/>
      <c r="Q1035" s="1808"/>
      <c r="R1035" s="1808"/>
      <c r="S1035" s="1808"/>
      <c r="T1035" s="1808"/>
      <c r="U1035" s="1808"/>
      <c r="V1035" s="1808"/>
      <c r="W1035" s="1808"/>
      <c r="X1035" s="1808"/>
      <c r="Y1035" s="1808"/>
      <c r="Z1035" s="1808"/>
      <c r="AA1035" s="1808"/>
      <c r="AB1035" s="1808"/>
      <c r="AC1035" s="1808"/>
      <c r="AD1035" s="1808"/>
      <c r="AE1035" s="1809"/>
      <c r="AF1035" s="918"/>
      <c r="AG1035" s="919"/>
      <c r="AH1035" s="919"/>
      <c r="AI1035" s="920"/>
      <c r="AJ1035" s="1734"/>
      <c r="AK1035" s="1735"/>
      <c r="AL1035" s="1735"/>
      <c r="AM1035" s="1735"/>
      <c r="AN1035" s="1735"/>
      <c r="AO1035" s="1735"/>
      <c r="AP1035" s="1735"/>
      <c r="AQ1035" s="1736"/>
      <c r="AR1035" s="68"/>
      <c r="AS1035" s="68"/>
      <c r="AT1035" s="68"/>
      <c r="AU1035" s="68"/>
      <c r="AV1035" s="68"/>
      <c r="AW1035" s="68"/>
      <c r="AX1035" s="68"/>
      <c r="AY1035" s="68"/>
    </row>
    <row r="1036" spans="1:57" ht="13" customHeight="1">
      <c r="A1036" s="14"/>
      <c r="B1036" s="73"/>
      <c r="C1036" s="339" t="s">
        <v>687</v>
      </c>
      <c r="D1036" s="1737" t="s">
        <v>1686</v>
      </c>
      <c r="E1036" s="1738"/>
      <c r="F1036" s="1738"/>
      <c r="G1036" s="1738"/>
      <c r="H1036" s="1738"/>
      <c r="I1036" s="1738"/>
      <c r="J1036" s="1738"/>
      <c r="K1036" s="1738"/>
      <c r="L1036" s="1738"/>
      <c r="M1036" s="1738"/>
      <c r="N1036" s="1738"/>
      <c r="O1036" s="1738"/>
      <c r="P1036" s="1738"/>
      <c r="Q1036" s="1738"/>
      <c r="R1036" s="1738"/>
      <c r="S1036" s="1738"/>
      <c r="T1036" s="1738"/>
      <c r="U1036" s="1738"/>
      <c r="V1036" s="1738"/>
      <c r="W1036" s="1738"/>
      <c r="X1036" s="1738"/>
      <c r="Y1036" s="1738"/>
      <c r="Z1036" s="1738"/>
      <c r="AA1036" s="1738"/>
      <c r="AB1036" s="1738"/>
      <c r="AC1036" s="1738"/>
      <c r="AD1036" s="1738"/>
      <c r="AE1036" s="1739"/>
      <c r="AF1036" s="73"/>
      <c r="AG1036" s="1756" t="s">
        <v>545</v>
      </c>
      <c r="AH1036" s="1757"/>
      <c r="AI1036" s="83"/>
      <c r="AJ1036" s="1728">
        <f>ROUND(IF(AND(AG1036="yes",AJ1032=0),(AJ992*0.1),0),0)</f>
        <v>5001154</v>
      </c>
      <c r="AK1036" s="1729"/>
      <c r="AL1036" s="1729"/>
      <c r="AM1036" s="1729"/>
      <c r="AN1036" s="1729"/>
      <c r="AO1036" s="1729"/>
      <c r="AP1036" s="1729"/>
      <c r="AQ1036" s="1730"/>
      <c r="AR1036" s="68"/>
      <c r="AS1036" s="68"/>
      <c r="AT1036" s="68"/>
      <c r="AU1036" s="68"/>
      <c r="AV1036" s="68"/>
      <c r="AW1036" s="68"/>
      <c r="AX1036" s="68"/>
      <c r="AY1036" s="68"/>
    </row>
    <row r="1037" spans="1:57" ht="13" customHeight="1">
      <c r="A1037" s="14"/>
      <c r="B1037" s="73"/>
      <c r="C1037" s="74"/>
      <c r="D1037" s="1805" t="s">
        <v>1687</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06"/>
      <c r="AF1037" s="73"/>
      <c r="AG1037" s="14"/>
      <c r="AH1037" s="14"/>
      <c r="AI1037" s="83"/>
      <c r="AJ1037" s="1731"/>
      <c r="AK1037" s="1732"/>
      <c r="AL1037" s="1732"/>
      <c r="AM1037" s="1732"/>
      <c r="AN1037" s="1732"/>
      <c r="AO1037" s="1732"/>
      <c r="AP1037" s="1732"/>
      <c r="AQ1037" s="1733"/>
      <c r="AR1037" s="68"/>
      <c r="AS1037" s="68"/>
      <c r="AT1037" s="68"/>
      <c r="AU1037" s="68"/>
      <c r="AV1037" s="68"/>
      <c r="AW1037" s="68"/>
      <c r="AX1037" s="68"/>
      <c r="AY1037" s="68"/>
    </row>
    <row r="1038" spans="1:57" ht="13" customHeight="1">
      <c r="A1038" s="14"/>
      <c r="B1038" s="73"/>
      <c r="C1038" s="74"/>
      <c r="D1038" s="1805"/>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06"/>
      <c r="AF1038" s="73"/>
      <c r="AG1038" s="14"/>
      <c r="AH1038" s="14"/>
      <c r="AI1038" s="83"/>
      <c r="AJ1038" s="1731"/>
      <c r="AK1038" s="1732"/>
      <c r="AL1038" s="1732"/>
      <c r="AM1038" s="1732"/>
      <c r="AN1038" s="1732"/>
      <c r="AO1038" s="1732"/>
      <c r="AP1038" s="1732"/>
      <c r="AQ1038" s="1733"/>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805"/>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06"/>
      <c r="AF1039" s="73"/>
      <c r="AG1039" s="14"/>
      <c r="AH1039" s="14"/>
      <c r="AI1039" s="83"/>
      <c r="AJ1039" s="1731"/>
      <c r="AK1039" s="1732"/>
      <c r="AL1039" s="1732"/>
      <c r="AM1039" s="1732"/>
      <c r="AN1039" s="1732"/>
      <c r="AO1039" s="1732"/>
      <c r="AP1039" s="1732"/>
      <c r="AQ1039" s="1733"/>
      <c r="AR1039" s="68"/>
      <c r="AS1039" s="68"/>
      <c r="AT1039" s="68"/>
      <c r="AU1039" s="68"/>
      <c r="AV1039" s="68"/>
      <c r="AW1039" s="68"/>
      <c r="AX1039" s="68"/>
      <c r="AY1039" s="68"/>
      <c r="BA1039">
        <f>IFERROR((($CI$753+$CM$753)/$AG$440),0)</f>
        <v>0.26804123711340205</v>
      </c>
      <c r="BB1039" s="3" t="s">
        <v>2492</v>
      </c>
    </row>
    <row r="1040" spans="1:57" ht="13" customHeight="1">
      <c r="A1040" s="14"/>
      <c r="B1040" s="73"/>
      <c r="C1040" s="74"/>
      <c r="D1040" s="1807"/>
      <c r="E1040" s="1808"/>
      <c r="F1040" s="1808"/>
      <c r="G1040" s="1808"/>
      <c r="H1040" s="1808"/>
      <c r="I1040" s="1808"/>
      <c r="J1040" s="1808"/>
      <c r="K1040" s="1808"/>
      <c r="L1040" s="1808"/>
      <c r="M1040" s="1808"/>
      <c r="N1040" s="1808"/>
      <c r="O1040" s="1808"/>
      <c r="P1040" s="1808"/>
      <c r="Q1040" s="1808"/>
      <c r="R1040" s="1808"/>
      <c r="S1040" s="1808"/>
      <c r="T1040" s="1808"/>
      <c r="U1040" s="1808"/>
      <c r="V1040" s="1808"/>
      <c r="W1040" s="1808"/>
      <c r="X1040" s="1808"/>
      <c r="Y1040" s="1808"/>
      <c r="Z1040" s="1808"/>
      <c r="AA1040" s="1808"/>
      <c r="AB1040" s="1808"/>
      <c r="AC1040" s="1808"/>
      <c r="AD1040" s="1808"/>
      <c r="AE1040" s="1809"/>
      <c r="AF1040" s="73"/>
      <c r="AG1040" s="14"/>
      <c r="AH1040" s="14"/>
      <c r="AI1040" s="83"/>
      <c r="AJ1040" s="1731"/>
      <c r="AK1040" s="1732"/>
      <c r="AL1040" s="1732"/>
      <c r="AM1040" s="1732"/>
      <c r="AN1040" s="1732"/>
      <c r="AO1040" s="1732"/>
      <c r="AP1040" s="1732"/>
      <c r="AQ1040" s="1733"/>
      <c r="AR1040" s="68"/>
      <c r="AS1040" s="68"/>
      <c r="AT1040" s="68"/>
      <c r="AU1040" s="68"/>
      <c r="AV1040" s="68"/>
      <c r="AW1040" s="68"/>
      <c r="AX1040" s="68"/>
      <c r="AY1040" s="68"/>
      <c r="BA1040" t="b">
        <f>'Points System'!AJ164="Yes"</f>
        <v>1</v>
      </c>
      <c r="BB1040" s="3" t="s">
        <v>2489</v>
      </c>
    </row>
    <row r="1041" spans="1:56" ht="13" customHeight="1">
      <c r="A1041" s="14"/>
      <c r="B1041" s="79"/>
      <c r="C1041" s="131" t="s">
        <v>1009</v>
      </c>
      <c r="D1041" s="1768" t="s">
        <v>1296</v>
      </c>
      <c r="E1041" s="1769"/>
      <c r="F1041" s="1769"/>
      <c r="G1041" s="1769"/>
      <c r="H1041" s="1769"/>
      <c r="I1041" s="1769"/>
      <c r="J1041" s="1769"/>
      <c r="K1041" s="1769"/>
      <c r="L1041" s="1769"/>
      <c r="M1041" s="1769"/>
      <c r="N1041" s="1769"/>
      <c r="O1041" s="1769"/>
      <c r="P1041" s="1769"/>
      <c r="Q1041" s="1769"/>
      <c r="R1041" s="1769"/>
      <c r="S1041" s="1769"/>
      <c r="T1041" s="1769"/>
      <c r="U1041" s="1769"/>
      <c r="V1041" s="1769"/>
      <c r="W1041" s="1769"/>
      <c r="X1041" s="1769"/>
      <c r="Y1041" s="1769"/>
      <c r="Z1041" s="1769"/>
      <c r="AA1041" s="1769"/>
      <c r="AB1041" s="1769"/>
      <c r="AC1041" s="1769"/>
      <c r="AD1041" s="1769"/>
      <c r="AE1041" s="1770"/>
      <c r="AF1041" s="79"/>
      <c r="AG1041" s="1754" t="s">
        <v>545</v>
      </c>
      <c r="AH1041" s="1755"/>
      <c r="AI1041" s="87"/>
      <c r="AJ1041" s="1728">
        <f>ROUND(IF(AG1041="yes",(AJ992*0.1),0),0)</f>
        <v>5001154</v>
      </c>
      <c r="AK1041" s="1729"/>
      <c r="AL1041" s="1729"/>
      <c r="AM1041" s="1729"/>
      <c r="AN1041" s="1729"/>
      <c r="AO1041" s="1729"/>
      <c r="AP1041" s="1729"/>
      <c r="AQ1041" s="1730"/>
      <c r="AR1041" s="68"/>
      <c r="AS1041" s="68"/>
      <c r="AT1041" s="68"/>
      <c r="AU1041" s="68"/>
      <c r="AV1041" s="68"/>
      <c r="AW1041" s="68"/>
      <c r="AX1041" s="68"/>
      <c r="AY1041" s="68"/>
      <c r="BA1041">
        <f>Q212</f>
        <v>11</v>
      </c>
      <c r="BB1041" s="3" t="s">
        <v>2490</v>
      </c>
    </row>
    <row r="1042" spans="1:56" ht="13" customHeight="1">
      <c r="A1042" s="14"/>
      <c r="B1042" s="73"/>
      <c r="C1042" s="74"/>
      <c r="D1042" s="1699" t="s">
        <v>2143</v>
      </c>
      <c r="E1042" s="1700"/>
      <c r="F1042" s="1700"/>
      <c r="G1042" s="1700"/>
      <c r="H1042" s="1700"/>
      <c r="I1042" s="1700"/>
      <c r="J1042" s="1700"/>
      <c r="K1042" s="1700"/>
      <c r="L1042" s="1700"/>
      <c r="M1042" s="1700"/>
      <c r="N1042" s="1700"/>
      <c r="O1042" s="1700"/>
      <c r="P1042" s="1700"/>
      <c r="Q1042" s="1700"/>
      <c r="R1042" s="1700"/>
      <c r="S1042" s="1700"/>
      <c r="T1042" s="1700"/>
      <c r="U1042" s="1700"/>
      <c r="V1042" s="1700"/>
      <c r="W1042" s="1700"/>
      <c r="X1042" s="1700"/>
      <c r="Y1042" s="1700"/>
      <c r="Z1042" s="1700"/>
      <c r="AA1042" s="1700"/>
      <c r="AB1042" s="1700"/>
      <c r="AC1042" s="1700"/>
      <c r="AD1042" s="1700"/>
      <c r="AE1042" s="1701"/>
      <c r="AF1042" s="73"/>
      <c r="AG1042" s="14"/>
      <c r="AH1042" s="14"/>
      <c r="AI1042" s="83"/>
      <c r="AJ1042" s="1731"/>
      <c r="AK1042" s="1732"/>
      <c r="AL1042" s="1732"/>
      <c r="AM1042" s="1732"/>
      <c r="AN1042" s="1732"/>
      <c r="AO1042" s="1732"/>
      <c r="AP1042" s="1732"/>
      <c r="AQ1042" s="1733"/>
      <c r="AR1042" s="68"/>
      <c r="AS1042" s="68"/>
      <c r="AT1042" s="68"/>
      <c r="AU1042" s="68"/>
      <c r="AV1042" s="68"/>
      <c r="AW1042" s="68"/>
      <c r="AX1042" s="68"/>
      <c r="AY1042" s="68"/>
      <c r="BA1042" s="1184">
        <f>T212</f>
        <v>0.1134020618556701</v>
      </c>
      <c r="BB1042" s="3" t="s">
        <v>2491</v>
      </c>
    </row>
    <row r="1043" spans="1:56" ht="13" customHeight="1">
      <c r="A1043" s="14"/>
      <c r="B1043" s="73"/>
      <c r="C1043" s="74"/>
      <c r="D1043" s="1699"/>
      <c r="E1043" s="1700"/>
      <c r="F1043" s="1700"/>
      <c r="G1043" s="1700"/>
      <c r="H1043" s="1700"/>
      <c r="I1043" s="1700"/>
      <c r="J1043" s="1700"/>
      <c r="K1043" s="1700"/>
      <c r="L1043" s="1700"/>
      <c r="M1043" s="1700"/>
      <c r="N1043" s="1700"/>
      <c r="O1043" s="1700"/>
      <c r="P1043" s="1700"/>
      <c r="Q1043" s="1700"/>
      <c r="R1043" s="1700"/>
      <c r="S1043" s="1700"/>
      <c r="T1043" s="1700"/>
      <c r="U1043" s="1700"/>
      <c r="V1043" s="1700"/>
      <c r="W1043" s="1700"/>
      <c r="X1043" s="1700"/>
      <c r="Y1043" s="1700"/>
      <c r="Z1043" s="1700"/>
      <c r="AA1043" s="1700"/>
      <c r="AB1043" s="1700"/>
      <c r="AC1043" s="1700"/>
      <c r="AD1043" s="1700"/>
      <c r="AE1043" s="1701"/>
      <c r="AF1043" s="73"/>
      <c r="AG1043" s="14"/>
      <c r="AH1043" s="14"/>
      <c r="AI1043" s="83"/>
      <c r="AJ1043" s="1731"/>
      <c r="AK1043" s="1732"/>
      <c r="AL1043" s="1732"/>
      <c r="AM1043" s="1732"/>
      <c r="AN1043" s="1732"/>
      <c r="AO1043" s="1732"/>
      <c r="AP1043" s="1732"/>
      <c r="AQ1043" s="1733"/>
      <c r="AR1043" s="68"/>
      <c r="AS1043" s="68"/>
      <c r="AT1043" s="68"/>
      <c r="AU1043" s="68"/>
      <c r="AV1043" s="68"/>
      <c r="AW1043" s="68"/>
      <c r="AX1043" s="68"/>
      <c r="AY1043" s="68"/>
    </row>
    <row r="1044" spans="1:56" ht="13" customHeight="1">
      <c r="A1044" s="14"/>
      <c r="B1044" s="73"/>
      <c r="C1044" s="74"/>
      <c r="D1044" s="1746"/>
      <c r="E1044" s="1747"/>
      <c r="F1044" s="1747"/>
      <c r="G1044" s="1747"/>
      <c r="H1044" s="1747"/>
      <c r="I1044" s="1747"/>
      <c r="J1044" s="1747"/>
      <c r="K1044" s="1747"/>
      <c r="L1044" s="1747"/>
      <c r="M1044" s="1747"/>
      <c r="N1044" s="1747"/>
      <c r="O1044" s="1747"/>
      <c r="P1044" s="1747"/>
      <c r="Q1044" s="1747"/>
      <c r="R1044" s="1747"/>
      <c r="S1044" s="1747"/>
      <c r="T1044" s="1747"/>
      <c r="U1044" s="1747"/>
      <c r="V1044" s="1747"/>
      <c r="W1044" s="1747"/>
      <c r="X1044" s="1747"/>
      <c r="Y1044" s="1747"/>
      <c r="Z1044" s="1747"/>
      <c r="AA1044" s="1747"/>
      <c r="AB1044" s="1747"/>
      <c r="AC1044" s="1747"/>
      <c r="AD1044" s="1747"/>
      <c r="AE1044" s="1748"/>
      <c r="AF1044" s="73"/>
      <c r="AG1044" s="14"/>
      <c r="AH1044" s="14"/>
      <c r="AI1044" s="83"/>
      <c r="AJ1044" s="1734"/>
      <c r="AK1044" s="1735"/>
      <c r="AL1044" s="1735"/>
      <c r="AM1044" s="1735"/>
      <c r="AN1044" s="1735"/>
      <c r="AO1044" s="1735"/>
      <c r="AP1044" s="1735"/>
      <c r="AQ1044" s="1736"/>
      <c r="AR1044" s="68"/>
      <c r="AS1044" s="68"/>
      <c r="AT1044" s="68"/>
      <c r="AU1044" s="68"/>
      <c r="AV1044" s="68"/>
      <c r="AW1044" s="68"/>
      <c r="AX1044" s="68"/>
      <c r="AY1044" s="68"/>
    </row>
    <row r="1045" spans="1:56" ht="13" customHeight="1">
      <c r="A1045" s="14"/>
      <c r="B1045" s="79"/>
      <c r="C1045" s="131" t="s">
        <v>1682</v>
      </c>
      <c r="D1045" s="1737" t="s">
        <v>1863</v>
      </c>
      <c r="E1045" s="1738"/>
      <c r="F1045" s="1738"/>
      <c r="G1045" s="1738"/>
      <c r="H1045" s="1738"/>
      <c r="I1045" s="1738"/>
      <c r="J1045" s="1738"/>
      <c r="K1045" s="1738"/>
      <c r="L1045" s="1738"/>
      <c r="M1045" s="1738"/>
      <c r="N1045" s="1738"/>
      <c r="O1045" s="1738"/>
      <c r="P1045" s="1738"/>
      <c r="Q1045" s="1738"/>
      <c r="R1045" s="1738"/>
      <c r="S1045" s="1738"/>
      <c r="T1045" s="1738"/>
      <c r="U1045" s="1738"/>
      <c r="V1045" s="1738"/>
      <c r="W1045" s="1738"/>
      <c r="X1045" s="1738"/>
      <c r="Y1045" s="1738"/>
      <c r="Z1045" s="1738"/>
      <c r="AA1045" s="1738"/>
      <c r="AB1045" s="1738"/>
      <c r="AC1045" s="1738"/>
      <c r="AD1045" s="1738"/>
      <c r="AE1045" s="1739"/>
      <c r="AF1045" s="79"/>
      <c r="AG1045" s="1752" t="str">
        <f>IF(X1048&gt;0,"Yes","No")</f>
        <v>Yes</v>
      </c>
      <c r="AH1045" s="1753"/>
      <c r="AI1045" s="87"/>
      <c r="AJ1045" s="1728">
        <f>IF((X1048=0),0,AY1005*AJ992)</f>
        <v>5501268.8499999996</v>
      </c>
      <c r="AK1045" s="1729"/>
      <c r="AL1045" s="1729"/>
      <c r="AM1045" s="1729"/>
      <c r="AN1045" s="1729"/>
      <c r="AO1045" s="1729"/>
      <c r="AP1045" s="1729"/>
      <c r="AQ1045" s="1730"/>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699" t="s">
        <v>1298</v>
      </c>
      <c r="E1046" s="1700"/>
      <c r="F1046" s="1700"/>
      <c r="G1046" s="1700"/>
      <c r="H1046" s="1700"/>
      <c r="I1046" s="1700"/>
      <c r="J1046" s="1700"/>
      <c r="K1046" s="1700"/>
      <c r="L1046" s="1700"/>
      <c r="M1046" s="1700"/>
      <c r="N1046" s="1700"/>
      <c r="O1046" s="1700"/>
      <c r="P1046" s="1700"/>
      <c r="Q1046" s="1700"/>
      <c r="R1046" s="1700"/>
      <c r="S1046" s="1700"/>
      <c r="T1046" s="1700"/>
      <c r="U1046" s="1700"/>
      <c r="V1046" s="1700"/>
      <c r="W1046" s="1700"/>
      <c r="X1046" s="1700"/>
      <c r="Y1046" s="1700"/>
      <c r="Z1046" s="1700"/>
      <c r="AA1046" s="1700"/>
      <c r="AB1046" s="1700"/>
      <c r="AC1046" s="1700"/>
      <c r="AD1046" s="1700"/>
      <c r="AE1046" s="1701"/>
      <c r="AF1046" s="73"/>
      <c r="AG1046" s="443"/>
      <c r="AH1046" s="443"/>
      <c r="AI1046" s="83"/>
      <c r="AJ1046" s="1731"/>
      <c r="AK1046" s="1732"/>
      <c r="AL1046" s="1732"/>
      <c r="AM1046" s="1732"/>
      <c r="AN1046" s="1732"/>
      <c r="AO1046" s="1732"/>
      <c r="AP1046" s="1732"/>
      <c r="AQ1046" s="1733"/>
      <c r="AR1046" s="68"/>
      <c r="AS1046" s="68"/>
      <c r="AT1046" s="68"/>
      <c r="AU1046" s="13"/>
      <c r="AV1046" s="68"/>
      <c r="AW1046" s="68"/>
      <c r="AX1046" s="68"/>
      <c r="AY1046" s="68"/>
      <c r="AZ1046" s="962">
        <f>'Sources and Uses Budget'!S97*BA1046</f>
        <v>9076762.2000000011</v>
      </c>
      <c r="BA1046" s="1182">
        <f>IF(BA1040,20%,15%)</f>
        <v>0.2</v>
      </c>
      <c r="BB1046" s="3" t="s">
        <v>2478</v>
      </c>
      <c r="BC1046" s="3" t="s">
        <v>2479</v>
      </c>
      <c r="BD1046" s="3"/>
    </row>
    <row r="1047" spans="1:56" ht="13" customHeight="1">
      <c r="A1047" s="14"/>
      <c r="B1047" s="73"/>
      <c r="C1047" s="442"/>
      <c r="D1047" s="1699"/>
      <c r="E1047" s="1700"/>
      <c r="F1047" s="1700"/>
      <c r="G1047" s="1700"/>
      <c r="H1047" s="1700"/>
      <c r="I1047" s="1700"/>
      <c r="J1047" s="1700"/>
      <c r="K1047" s="1700"/>
      <c r="L1047" s="1700"/>
      <c r="M1047" s="1700"/>
      <c r="N1047" s="1700"/>
      <c r="O1047" s="1700"/>
      <c r="P1047" s="1700"/>
      <c r="Q1047" s="1700"/>
      <c r="R1047" s="1700"/>
      <c r="S1047" s="1700"/>
      <c r="T1047" s="1700"/>
      <c r="U1047" s="1700"/>
      <c r="V1047" s="1700"/>
      <c r="W1047" s="1700"/>
      <c r="X1047" s="1700"/>
      <c r="Y1047" s="1700"/>
      <c r="Z1047" s="1700"/>
      <c r="AA1047" s="1700"/>
      <c r="AB1047" s="1700"/>
      <c r="AC1047" s="1700"/>
      <c r="AD1047" s="1700"/>
      <c r="AE1047" s="1701"/>
      <c r="AF1047" s="73"/>
      <c r="AG1047" s="443"/>
      <c r="AH1047" s="443"/>
      <c r="AI1047" s="83"/>
      <c r="AJ1047" s="1731"/>
      <c r="AK1047" s="1732"/>
      <c r="AL1047" s="1732"/>
      <c r="AM1047" s="1732"/>
      <c r="AN1047" s="1732"/>
      <c r="AO1047" s="1732"/>
      <c r="AP1047" s="1732"/>
      <c r="AQ1047" s="1733"/>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971</v>
      </c>
      <c r="E1048" s="133"/>
      <c r="F1048" s="133"/>
      <c r="G1048" s="133"/>
      <c r="H1048" s="133"/>
      <c r="I1048" s="1791">
        <f>AY1003</f>
        <v>97</v>
      </c>
      <c r="J1048" s="1792"/>
      <c r="K1048" s="7"/>
      <c r="L1048" s="133"/>
      <c r="M1048" s="133"/>
      <c r="N1048" s="133"/>
      <c r="O1048" s="133"/>
      <c r="P1048" s="133"/>
      <c r="Q1048" s="133"/>
      <c r="R1048" s="133"/>
      <c r="S1048" s="133"/>
      <c r="T1048" s="133"/>
      <c r="U1048" s="133"/>
      <c r="V1048" s="134" t="s">
        <v>972</v>
      </c>
      <c r="W1048" s="48"/>
      <c r="X1048" s="1789">
        <f>CI753</f>
        <v>11</v>
      </c>
      <c r="Y1048" s="1790"/>
      <c r="Z1048" s="48"/>
      <c r="AA1048" s="48"/>
      <c r="AB1048" s="48"/>
      <c r="AC1048" s="48"/>
      <c r="AD1048" s="48"/>
      <c r="AE1048" s="49"/>
      <c r="AF1048" s="924"/>
      <c r="AG1048" s="925"/>
      <c r="AH1048" s="925"/>
      <c r="AI1048" s="926"/>
      <c r="AJ1048" s="1734"/>
      <c r="AK1048" s="1735"/>
      <c r="AL1048" s="1735"/>
      <c r="AM1048" s="1735"/>
      <c r="AN1048" s="1735"/>
      <c r="AO1048" s="1735"/>
      <c r="AP1048" s="1735"/>
      <c r="AQ1048" s="1736"/>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3" customHeight="1">
      <c r="A1049" s="14"/>
      <c r="B1049" s="79"/>
      <c r="C1049" s="131" t="s">
        <v>1683</v>
      </c>
      <c r="D1049" s="1768" t="s">
        <v>2169</v>
      </c>
      <c r="E1049" s="1769"/>
      <c r="F1049" s="1769"/>
      <c r="G1049" s="1769"/>
      <c r="H1049" s="1769"/>
      <c r="I1049" s="1769"/>
      <c r="J1049" s="1769"/>
      <c r="K1049" s="1769"/>
      <c r="L1049" s="1769"/>
      <c r="M1049" s="1769"/>
      <c r="N1049" s="1769"/>
      <c r="O1049" s="1769"/>
      <c r="P1049" s="1769"/>
      <c r="Q1049" s="1769"/>
      <c r="R1049" s="1769"/>
      <c r="S1049" s="1769"/>
      <c r="T1049" s="1769"/>
      <c r="U1049" s="1769"/>
      <c r="V1049" s="1769"/>
      <c r="W1049" s="1769"/>
      <c r="X1049" s="1769"/>
      <c r="Y1049" s="1769"/>
      <c r="Z1049" s="1769"/>
      <c r="AA1049" s="1769"/>
      <c r="AB1049" s="1769"/>
      <c r="AC1049" s="1769"/>
      <c r="AD1049" s="1769"/>
      <c r="AE1049" s="1770"/>
      <c r="AF1049" s="73"/>
      <c r="AG1049" s="1752" t="str">
        <f>IF(X1052&gt;0,"Yes","No")</f>
        <v>Yes</v>
      </c>
      <c r="AH1049" s="1753"/>
      <c r="AI1049" s="83"/>
      <c r="AJ1049" s="1728">
        <f>IF((X1052=0),0,(2*AY1006)*AJ992)</f>
        <v>15003460.5</v>
      </c>
      <c r="AK1049" s="1729"/>
      <c r="AL1049" s="1729"/>
      <c r="AM1049" s="1729"/>
      <c r="AN1049" s="1729"/>
      <c r="AO1049" s="1729"/>
      <c r="AP1049" s="1729"/>
      <c r="AQ1049" s="1730"/>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699" t="s">
        <v>1297</v>
      </c>
      <c r="E1050" s="1700"/>
      <c r="F1050" s="1700"/>
      <c r="G1050" s="1700"/>
      <c r="H1050" s="1700"/>
      <c r="I1050" s="1700"/>
      <c r="J1050" s="1700"/>
      <c r="K1050" s="1700"/>
      <c r="L1050" s="1700"/>
      <c r="M1050" s="1700"/>
      <c r="N1050" s="1700"/>
      <c r="O1050" s="1700"/>
      <c r="P1050" s="1700"/>
      <c r="Q1050" s="1700"/>
      <c r="R1050" s="1700"/>
      <c r="S1050" s="1700"/>
      <c r="T1050" s="1700"/>
      <c r="U1050" s="1700"/>
      <c r="V1050" s="1700"/>
      <c r="W1050" s="1700"/>
      <c r="X1050" s="1700"/>
      <c r="Y1050" s="1700"/>
      <c r="Z1050" s="1700"/>
      <c r="AA1050" s="1700"/>
      <c r="AB1050" s="1700"/>
      <c r="AC1050" s="1700"/>
      <c r="AD1050" s="1700"/>
      <c r="AE1050" s="1701"/>
      <c r="AF1050" s="73"/>
      <c r="AG1050" s="443"/>
      <c r="AH1050" s="443"/>
      <c r="AI1050" s="83"/>
      <c r="AJ1050" s="1731"/>
      <c r="AK1050" s="1732"/>
      <c r="AL1050" s="1732"/>
      <c r="AM1050" s="1732"/>
      <c r="AN1050" s="1732"/>
      <c r="AO1050" s="1732"/>
      <c r="AP1050" s="1732"/>
      <c r="AQ1050" s="1733"/>
      <c r="AR1050" s="68"/>
      <c r="AS1050" s="68"/>
      <c r="AT1050" s="68"/>
      <c r="AU1050" s="68"/>
      <c r="AV1050" s="68"/>
      <c r="AW1050" s="68"/>
      <c r="AX1050" s="68"/>
      <c r="AY1050" s="68"/>
      <c r="AZ1050" s="962"/>
      <c r="BA1050" s="3"/>
      <c r="BB1050" s="3"/>
      <c r="BC1050" s="3"/>
      <c r="BD1050" s="3"/>
    </row>
    <row r="1051" spans="1:56" ht="13" customHeight="1">
      <c r="A1051" s="14"/>
      <c r="B1051" s="73"/>
      <c r="C1051" s="83"/>
      <c r="D1051" s="1699"/>
      <c r="E1051" s="1700"/>
      <c r="F1051" s="1700"/>
      <c r="G1051" s="1700"/>
      <c r="H1051" s="1700"/>
      <c r="I1051" s="1700"/>
      <c r="J1051" s="1700"/>
      <c r="K1051" s="1700"/>
      <c r="L1051" s="1700"/>
      <c r="M1051" s="1700"/>
      <c r="N1051" s="1700"/>
      <c r="O1051" s="1700"/>
      <c r="P1051" s="1700"/>
      <c r="Q1051" s="1700"/>
      <c r="R1051" s="1700"/>
      <c r="S1051" s="1700"/>
      <c r="T1051" s="1700"/>
      <c r="U1051" s="1700"/>
      <c r="V1051" s="1700"/>
      <c r="W1051" s="1700"/>
      <c r="X1051" s="1700"/>
      <c r="Y1051" s="1700"/>
      <c r="Z1051" s="1700"/>
      <c r="AA1051" s="1700"/>
      <c r="AB1051" s="1700"/>
      <c r="AC1051" s="1700"/>
      <c r="AD1051" s="1700"/>
      <c r="AE1051" s="1701"/>
      <c r="AF1051" s="921"/>
      <c r="AG1051" s="922"/>
      <c r="AH1051" s="922"/>
      <c r="AI1051" s="923"/>
      <c r="AJ1051" s="1731"/>
      <c r="AK1051" s="1732"/>
      <c r="AL1051" s="1732"/>
      <c r="AM1051" s="1732"/>
      <c r="AN1051" s="1732"/>
      <c r="AO1051" s="1732"/>
      <c r="AP1051" s="1732"/>
      <c r="AQ1051" s="1733"/>
      <c r="AR1051" s="68"/>
      <c r="AS1051" s="68"/>
      <c r="AT1051" s="68"/>
      <c r="AU1051" s="68"/>
      <c r="AV1051" s="68"/>
      <c r="AW1051" s="68"/>
      <c r="AX1051" s="68"/>
      <c r="AY1051" s="68"/>
      <c r="AZ1051" s="962">
        <f>ROUNDDOWN(MIN(SUM(AZ1046,AZ1047,AZ1048,AZ1049),BD1051),0)</f>
        <v>3000000</v>
      </c>
      <c r="BA1051" s="3" t="s">
        <v>2483</v>
      </c>
      <c r="BB1051" s="3"/>
      <c r="BC1051" s="3"/>
      <c r="BD1051" s="3" cm="1">
        <f t="array" ref="BD1051">_xlfn.IFS(BA1040,3000000,AND(BA1041&gt;=25%,BA1042&gt;=15),2800000,TRUE,2500000)</f>
        <v>3000000</v>
      </c>
    </row>
    <row r="1052" spans="1:56" ht="13" customHeight="1">
      <c r="A1052" s="14"/>
      <c r="B1052" s="77"/>
      <c r="C1052" s="78"/>
      <c r="D1052" s="132" t="s">
        <v>971</v>
      </c>
      <c r="E1052" s="133"/>
      <c r="F1052" s="133"/>
      <c r="G1052" s="133"/>
      <c r="H1052" s="133"/>
      <c r="I1052" s="1791">
        <f>AY1003</f>
        <v>97</v>
      </c>
      <c r="J1052" s="1792"/>
      <c r="K1052" s="14"/>
      <c r="L1052" s="133"/>
      <c r="M1052" s="133"/>
      <c r="N1052" s="133"/>
      <c r="O1052" s="133"/>
      <c r="P1052" s="133"/>
      <c r="Q1052" s="133"/>
      <c r="R1052" s="133"/>
      <c r="S1052" s="133"/>
      <c r="T1052" s="133"/>
      <c r="U1052" s="133"/>
      <c r="V1052" s="134" t="s">
        <v>973</v>
      </c>
      <c r="X1052" s="1789">
        <f>CM753</f>
        <v>15</v>
      </c>
      <c r="Y1052" s="1790"/>
      <c r="AF1052" s="924"/>
      <c r="AG1052" s="925"/>
      <c r="AH1052" s="925"/>
      <c r="AI1052" s="926"/>
      <c r="AJ1052" s="1734"/>
      <c r="AK1052" s="1735"/>
      <c r="AL1052" s="1735"/>
      <c r="AM1052" s="1735"/>
      <c r="AN1052" s="1735"/>
      <c r="AO1052" s="1735"/>
      <c r="AP1052" s="1735"/>
      <c r="AQ1052" s="1736"/>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787" t="s">
        <v>513</v>
      </c>
      <c r="E1053" s="1787"/>
      <c r="F1053" s="1787"/>
      <c r="G1053" s="1787"/>
      <c r="H1053" s="1787"/>
      <c r="I1053" s="1787"/>
      <c r="J1053" s="1787"/>
      <c r="K1053" s="1787"/>
      <c r="L1053" s="1787"/>
      <c r="M1053" s="1787"/>
      <c r="N1053" s="1787"/>
      <c r="O1053" s="1787"/>
      <c r="P1053" s="1787"/>
      <c r="Q1053" s="1787"/>
      <c r="R1053" s="1787"/>
      <c r="S1053" s="1787"/>
      <c r="T1053" s="1787"/>
      <c r="U1053" s="1787"/>
      <c r="V1053" s="1787"/>
      <c r="W1053" s="1787"/>
      <c r="X1053" s="1787"/>
      <c r="Y1053" s="1787"/>
      <c r="Z1053" s="1787"/>
      <c r="AA1053" s="1787"/>
      <c r="AB1053" s="1787"/>
      <c r="AC1053" s="1787"/>
      <c r="AD1053" s="1787"/>
      <c r="AE1053" s="1787"/>
      <c r="AF1053" s="1787"/>
      <c r="AG1053" s="1787"/>
      <c r="AH1053" s="1787"/>
      <c r="AI1053" s="1788"/>
      <c r="AJ1053" s="1802">
        <f>SUM(AJ992:AQ1052)</f>
        <v>87016835.349999994</v>
      </c>
      <c r="AK1053" s="1803"/>
      <c r="AL1053" s="1803"/>
      <c r="AM1053" s="1803"/>
      <c r="AN1053" s="1803"/>
      <c r="AO1053" s="1803"/>
      <c r="AP1053" s="1803"/>
      <c r="AQ1053" s="1804"/>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52183811</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9076762.2000000011</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0.72744367769680907</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6800000</v>
      </c>
      <c r="BB1058" s="3" t="s">
        <v>2493</v>
      </c>
    </row>
    <row r="1059" spans="1:54" ht="13"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3800000</v>
      </c>
      <c r="BB1059" s="3" t="s">
        <v>2494</v>
      </c>
    </row>
    <row r="1060" spans="1:54" ht="13"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3" customHeight="1">
      <c r="A1061" s="1841" t="s">
        <v>794</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7" t="s">
        <v>591</v>
      </c>
      <c r="B1065" s="1417"/>
      <c r="C1065" s="1860">
        <v>1</v>
      </c>
      <c r="D1065" s="1860"/>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7" t="s">
        <v>591</v>
      </c>
      <c r="B1067" s="1417"/>
      <c r="C1067" s="1860">
        <v>2</v>
      </c>
      <c r="D1067" s="1860"/>
      <c r="E1067" s="1862" t="s">
        <v>2237</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3"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3"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7" t="s">
        <v>591</v>
      </c>
      <c r="B1070" s="1417"/>
      <c r="C1070" s="1407">
        <v>3</v>
      </c>
      <c r="D1070" s="1407"/>
      <c r="E1070" s="1330" t="s">
        <v>1079</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3"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3"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3"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3"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7" t="s">
        <v>591</v>
      </c>
      <c r="B1075" s="1417"/>
      <c r="C1075" s="1407">
        <v>4</v>
      </c>
      <c r="D1075" s="1407"/>
      <c r="E1075" s="1330" t="s">
        <v>1078</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3"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3"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3"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3"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3"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7" t="s">
        <v>591</v>
      </c>
      <c r="B1081" s="1417"/>
      <c r="C1081" s="1407">
        <v>5</v>
      </c>
      <c r="D1081" s="1407"/>
      <c r="E1081" s="1330" t="s">
        <v>2241</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3"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3"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3"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7" t="s">
        <v>591</v>
      </c>
      <c r="B1085" s="1417"/>
      <c r="C1085" s="1407">
        <v>6</v>
      </c>
      <c r="D1085" s="1407"/>
      <c r="E1085" s="1330" t="s">
        <v>2242</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3"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3"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3"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7" t="s">
        <v>591</v>
      </c>
      <c r="B1089" s="1417"/>
      <c r="C1089" s="1407">
        <v>7</v>
      </c>
      <c r="D1089" s="1407"/>
      <c r="E1089" s="1330" t="s">
        <v>2137</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3"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3"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3"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7" t="s">
        <v>591</v>
      </c>
      <c r="B1094" s="1417"/>
      <c r="C1094" s="1407">
        <v>8</v>
      </c>
      <c r="D1094" s="1407"/>
      <c r="E1094" s="1330" t="s">
        <v>1072</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3"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3"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7" t="s">
        <v>591</v>
      </c>
      <c r="B1097" s="1417"/>
      <c r="C1097" s="1860">
        <v>9</v>
      </c>
      <c r="D1097" s="1860"/>
      <c r="E1097" s="1330" t="s">
        <v>1074</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3" customHeight="1">
      <c r="A1098" s="1"/>
      <c r="B1098" s="1"/>
      <c r="C1098" s="1860"/>
      <c r="D1098" s="1860"/>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3"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7" t="s">
        <v>591</v>
      </c>
      <c r="B1100" s="1417"/>
      <c r="C1100" s="1860">
        <v>10</v>
      </c>
      <c r="D1100" s="1860"/>
      <c r="E1100" s="1861" t="s">
        <v>2238</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3" customHeight="1">
      <c r="A1101" s="1"/>
      <c r="B1101" s="1"/>
      <c r="C1101" s="199"/>
      <c r="D1101" s="1161"/>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7" t="s">
        <v>591</v>
      </c>
      <c r="B1103" s="1417"/>
      <c r="C1103" s="1860">
        <v>11</v>
      </c>
      <c r="D1103" s="1860"/>
      <c r="E1103" s="1861" t="s">
        <v>2240</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3" customHeight="1">
      <c r="A1104" s="1"/>
      <c r="B1104" s="1"/>
      <c r="C1104" s="199"/>
      <c r="D1104" s="1161"/>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591</v>
      </c>
      <c r="B1125" s="1417"/>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90" zoomScaleNormal="90" workbookViewId="0">
      <selection activeCell="B4" sqref="B4"/>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81640625" style="158" hidden="1"/>
    <col min="16384" max="16384" width="8.984375E-2" style="158" customWidth="1"/>
  </cols>
  <sheetData>
    <row r="1" spans="1:21" s="110" customFormat="1" ht="13.5">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Application!B627&amp;Application!C627</f>
        <v>1)Citibank Permanent Loan</v>
      </c>
      <c r="G2" s="139" t="str">
        <f>Application!B628&amp;Application!C628</f>
        <v>2)San Diego Housing Commission</v>
      </c>
      <c r="H2" s="139" t="str">
        <f>Application!B629&amp;Application!C629</f>
        <v>3)City of San Diego Bridge To Home</v>
      </c>
      <c r="I2" s="139" t="str">
        <f>Application!B630&amp;Application!C630</f>
        <v>4)Deferred Developer Fee</v>
      </c>
      <c r="J2" s="139" t="str">
        <f>Application!B631&amp;Application!C631</f>
        <v>5)Safehold TI Allowance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100000</v>
      </c>
      <c r="C5" s="147">
        <v>100000</v>
      </c>
      <c r="D5" s="147"/>
      <c r="E5" s="147">
        <v>100000</v>
      </c>
      <c r="F5" s="147"/>
      <c r="G5" s="147"/>
      <c r="H5" s="147"/>
      <c r="I5" s="147"/>
      <c r="J5" s="147"/>
      <c r="K5" s="147"/>
      <c r="L5" s="147"/>
      <c r="M5" s="147"/>
      <c r="N5" s="147"/>
      <c r="O5" s="147"/>
      <c r="P5" s="147"/>
      <c r="Q5" s="147"/>
      <c r="R5" s="516">
        <f>SUM(E5:Q5)</f>
        <v>100000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100000</v>
      </c>
      <c r="C8" s="146">
        <f t="shared" ref="C8:Q8" si="0">SUM(C4:C7)</f>
        <v>100000</v>
      </c>
      <c r="D8" s="146">
        <f t="shared" si="0"/>
        <v>0</v>
      </c>
      <c r="E8" s="146">
        <f t="shared" si="0"/>
        <v>100000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v>500000</v>
      </c>
      <c r="F10" s="147"/>
      <c r="G10" s="147"/>
      <c r="H10" s="147"/>
      <c r="I10" s="147"/>
      <c r="J10" s="147"/>
      <c r="K10" s="147"/>
      <c r="L10" s="147"/>
      <c r="M10" s="147"/>
      <c r="N10" s="147"/>
      <c r="O10" s="147"/>
      <c r="P10" s="147"/>
      <c r="Q10" s="147"/>
      <c r="R10" s="516">
        <f>SUM(E10:Q10)</f>
        <v>500000</v>
      </c>
      <c r="S10" s="147">
        <f>R10</f>
        <v>500000</v>
      </c>
      <c r="T10" s="147"/>
      <c r="U10" s="143"/>
    </row>
    <row r="11" spans="1:21" s="144" customFormat="1">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600000</v>
      </c>
      <c r="C12" s="146">
        <f t="shared" si="2"/>
        <v>600000</v>
      </c>
      <c r="D12" s="146">
        <f t="shared" si="2"/>
        <v>0</v>
      </c>
      <c r="E12" s="146">
        <f t="shared" si="2"/>
        <v>600000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v>1000000</v>
      </c>
      <c r="F29" s="147"/>
      <c r="G29" s="147"/>
      <c r="H29" s="147"/>
      <c r="I29" s="147"/>
      <c r="J29" s="147"/>
      <c r="K29" s="147"/>
      <c r="L29" s="147"/>
      <c r="M29" s="147"/>
      <c r="N29" s="147"/>
      <c r="O29" s="147"/>
      <c r="P29" s="147"/>
      <c r="Q29" s="147"/>
      <c r="R29" s="516">
        <f t="shared" ref="R29:R37" si="7">SUM(E29:Q29)</f>
        <v>1000000</v>
      </c>
      <c r="S29" s="147">
        <f>R29</f>
        <v>1000000</v>
      </c>
      <c r="T29" s="147"/>
      <c r="U29" s="143"/>
    </row>
    <row r="30" spans="1:21" s="144" customFormat="1">
      <c r="A30" s="145" t="s">
        <v>599</v>
      </c>
      <c r="B30" s="146">
        <f t="shared" si="6"/>
        <v>28077037</v>
      </c>
      <c r="C30" s="147">
        <v>28077037</v>
      </c>
      <c r="D30" s="147"/>
      <c r="E30" s="147">
        <f>C30-F30-G30-H30-J30</f>
        <v>15551983</v>
      </c>
      <c r="F30" s="147">
        <v>8343152</v>
      </c>
      <c r="G30" s="147">
        <v>2089983</v>
      </c>
      <c r="H30" s="147">
        <v>1991919</v>
      </c>
      <c r="I30" s="147"/>
      <c r="J30" s="147">
        <v>100000</v>
      </c>
      <c r="K30" s="147"/>
      <c r="L30" s="147"/>
      <c r="M30" s="147"/>
      <c r="N30" s="147"/>
      <c r="O30" s="147"/>
      <c r="P30" s="147"/>
      <c r="Q30" s="147"/>
      <c r="R30" s="516">
        <f t="shared" si="7"/>
        <v>28077037</v>
      </c>
      <c r="S30" s="147">
        <f t="shared" ref="S30:S35" si="8">R30</f>
        <v>28077037</v>
      </c>
      <c r="T30" s="147"/>
      <c r="U30" s="143"/>
    </row>
    <row r="31" spans="1:21" s="144" customFormat="1">
      <c r="A31" s="145" t="s">
        <v>600</v>
      </c>
      <c r="B31" s="146">
        <f t="shared" si="6"/>
        <v>1774622</v>
      </c>
      <c r="C31" s="147">
        <v>1774622</v>
      </c>
      <c r="D31" s="147"/>
      <c r="E31" s="147"/>
      <c r="F31" s="147">
        <f>C31</f>
        <v>1774622</v>
      </c>
      <c r="G31" s="147"/>
      <c r="H31" s="147"/>
      <c r="I31" s="147"/>
      <c r="J31" s="147"/>
      <c r="K31" s="147"/>
      <c r="L31" s="147"/>
      <c r="M31" s="147"/>
      <c r="N31" s="147"/>
      <c r="O31" s="147"/>
      <c r="P31" s="147"/>
      <c r="Q31" s="147"/>
      <c r="R31" s="516">
        <f t="shared" si="7"/>
        <v>1774622</v>
      </c>
      <c r="S31" s="147">
        <f t="shared" si="8"/>
        <v>1774622</v>
      </c>
      <c r="T31" s="147"/>
      <c r="U31" s="143"/>
    </row>
    <row r="32" spans="1:21" s="144" customFormat="1">
      <c r="A32" s="145" t="s">
        <v>137</v>
      </c>
      <c r="B32" s="146">
        <f t="shared" si="6"/>
        <v>1183081</v>
      </c>
      <c r="C32" s="147">
        <v>1183081</v>
      </c>
      <c r="D32" s="147"/>
      <c r="E32" s="147"/>
      <c r="F32" s="147">
        <f>C32</f>
        <v>1183081</v>
      </c>
      <c r="G32" s="147"/>
      <c r="H32" s="147"/>
      <c r="I32" s="147"/>
      <c r="J32" s="147"/>
      <c r="K32" s="147"/>
      <c r="L32" s="147"/>
      <c r="M32" s="147"/>
      <c r="N32" s="147"/>
      <c r="O32" s="147"/>
      <c r="P32" s="147"/>
      <c r="Q32" s="147"/>
      <c r="R32" s="516">
        <f t="shared" si="7"/>
        <v>1183081</v>
      </c>
      <c r="S32" s="147">
        <f t="shared" si="8"/>
        <v>1183081</v>
      </c>
      <c r="T32" s="147"/>
      <c r="U32" s="143"/>
    </row>
    <row r="33" spans="1:21" s="144" customFormat="1">
      <c r="A33" s="145" t="s">
        <v>138</v>
      </c>
      <c r="B33" s="146">
        <f t="shared" si="6"/>
        <v>1183081</v>
      </c>
      <c r="C33" s="147">
        <v>1183081</v>
      </c>
      <c r="D33" s="147"/>
      <c r="E33" s="147"/>
      <c r="F33" s="147"/>
      <c r="G33" s="147"/>
      <c r="H33" s="147">
        <f>C33</f>
        <v>1183081</v>
      </c>
      <c r="I33" s="147"/>
      <c r="J33" s="147"/>
      <c r="K33" s="147"/>
      <c r="L33" s="147"/>
      <c r="M33" s="147"/>
      <c r="N33" s="147"/>
      <c r="O33" s="147"/>
      <c r="P33" s="147"/>
      <c r="Q33" s="147"/>
      <c r="R33" s="516">
        <f t="shared" si="7"/>
        <v>1183081</v>
      </c>
      <c r="S33" s="147">
        <f t="shared" si="8"/>
        <v>1183081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337178</v>
      </c>
      <c r="C35" s="147">
        <v>337178</v>
      </c>
      <c r="D35" s="147"/>
      <c r="E35" s="147"/>
      <c r="F35" s="147"/>
      <c r="G35" s="147">
        <v>337178</v>
      </c>
      <c r="H35" s="147"/>
      <c r="I35" s="147"/>
      <c r="J35" s="147"/>
      <c r="K35" s="147"/>
      <c r="L35" s="147"/>
      <c r="M35" s="147"/>
      <c r="N35" s="147"/>
      <c r="O35" s="147"/>
      <c r="P35" s="147"/>
      <c r="Q35" s="147"/>
      <c r="R35" s="516">
        <f t="shared" si="7"/>
        <v>337178</v>
      </c>
      <c r="S35" s="147">
        <f t="shared" si="8"/>
        <v>337178</v>
      </c>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33554999</v>
      </c>
      <c r="C38" s="146">
        <f>SUM(C29:C37)</f>
        <v>33554999</v>
      </c>
      <c r="D38" s="146">
        <f t="shared" ref="D38:Q38" si="9">SUM(D29:D37)</f>
        <v>0</v>
      </c>
      <c r="E38" s="146">
        <f t="shared" si="9"/>
        <v>16551983</v>
      </c>
      <c r="F38" s="146">
        <f t="shared" si="9"/>
        <v>11300855</v>
      </c>
      <c r="G38" s="146">
        <f t="shared" si="9"/>
        <v>2427161</v>
      </c>
      <c r="H38" s="146">
        <f t="shared" si="9"/>
        <v>3175000</v>
      </c>
      <c r="I38" s="146">
        <f t="shared" si="9"/>
        <v>0</v>
      </c>
      <c r="J38" s="146">
        <f t="shared" si="9"/>
        <v>100000</v>
      </c>
      <c r="K38" s="146">
        <f t="shared" si="9"/>
        <v>0</v>
      </c>
      <c r="L38" s="146">
        <f t="shared" si="9"/>
        <v>0</v>
      </c>
      <c r="M38" s="146">
        <f t="shared" si="9"/>
        <v>0</v>
      </c>
      <c r="N38" s="146">
        <f t="shared" si="9"/>
        <v>0</v>
      </c>
      <c r="O38" s="146">
        <f t="shared" si="9"/>
        <v>0</v>
      </c>
      <c r="P38" s="146">
        <f t="shared" si="9"/>
        <v>0</v>
      </c>
      <c r="Q38" s="146">
        <f t="shared" si="9"/>
        <v>0</v>
      </c>
      <c r="R38" s="342">
        <f>SUM(R29:R37)</f>
        <v>33554999</v>
      </c>
      <c r="S38" s="150">
        <f>SUM(S29:S37)</f>
        <v>33554999</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1360000</v>
      </c>
      <c r="C40" s="147">
        <v>1360000</v>
      </c>
      <c r="D40" s="147"/>
      <c r="E40" s="147"/>
      <c r="F40" s="147"/>
      <c r="G40" s="147">
        <v>1360000</v>
      </c>
      <c r="H40" s="147"/>
      <c r="I40" s="147"/>
      <c r="J40" s="147"/>
      <c r="K40" s="147"/>
      <c r="L40" s="147"/>
      <c r="M40" s="147"/>
      <c r="N40" s="147"/>
      <c r="O40" s="147"/>
      <c r="P40" s="147"/>
      <c r="Q40" s="147"/>
      <c r="R40" s="516">
        <f>SUM(E40:Q40)</f>
        <v>1360000</v>
      </c>
      <c r="S40" s="147">
        <f>R40</f>
        <v>1360000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1360000</v>
      </c>
      <c r="C42" s="146">
        <f>SUM(C39:C41)</f>
        <v>1360000</v>
      </c>
      <c r="D42" s="146">
        <f>SUM(D39:D41)</f>
        <v>0</v>
      </c>
      <c r="E42" s="146">
        <f t="shared" ref="E42:T42" si="10">SUM(E40:E41)</f>
        <v>0</v>
      </c>
      <c r="F42" s="146">
        <f t="shared" si="10"/>
        <v>0</v>
      </c>
      <c r="G42" s="146">
        <f t="shared" si="10"/>
        <v>1360000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1360000</v>
      </c>
      <c r="S42" s="150">
        <f t="shared" si="10"/>
        <v>1360000</v>
      </c>
      <c r="T42" s="150">
        <f t="shared" si="10"/>
        <v>0</v>
      </c>
      <c r="U42" s="143"/>
    </row>
    <row r="43" spans="1:21" s="144" customFormat="1">
      <c r="A43" s="149" t="s">
        <v>148</v>
      </c>
      <c r="B43" s="146">
        <f>SUM(C43:D43)</f>
        <v>650000</v>
      </c>
      <c r="C43" s="147">
        <v>650000</v>
      </c>
      <c r="D43" s="147"/>
      <c r="E43" s="147"/>
      <c r="F43" s="147"/>
      <c r="G43" s="147" cm="1">
        <f t="array" ref="G43:G44">C43:C44</f>
        <v>650000</v>
      </c>
      <c r="H43" s="147"/>
      <c r="I43" s="147"/>
      <c r="J43" s="147"/>
      <c r="K43" s="147"/>
      <c r="L43" s="147"/>
      <c r="M43" s="147"/>
      <c r="N43" s="147"/>
      <c r="O43" s="147"/>
      <c r="P43" s="147"/>
      <c r="Q43" s="147"/>
      <c r="R43" s="516">
        <f>SUM(E43:Q43)</f>
        <v>650000</v>
      </c>
      <c r="S43" s="147">
        <f>R43</f>
        <v>650000</v>
      </c>
      <c r="T43" s="147"/>
      <c r="U43" s="143"/>
    </row>
    <row r="44" spans="1:21" s="144" customFormat="1" ht="12">
      <c r="A44" s="141" t="s">
        <v>149</v>
      </c>
      <c r="B44" s="142"/>
      <c r="C44" s="142"/>
      <c r="D44" s="142"/>
      <c r="E44" s="151"/>
      <c r="F44" s="151"/>
      <c r="G44" s="151">
        <v>0</v>
      </c>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4566776</v>
      </c>
      <c r="C45" s="147">
        <f>3325152+1241624</f>
        <v>4566776</v>
      </c>
      <c r="D45" s="147"/>
      <c r="E45" s="147">
        <f>C45-G45</f>
        <v>4003937</v>
      </c>
      <c r="F45" s="147"/>
      <c r="G45" s="147">
        <v>562839</v>
      </c>
      <c r="H45" s="147"/>
      <c r="I45" s="147"/>
      <c r="J45" s="147"/>
      <c r="K45" s="147"/>
      <c r="L45" s="147"/>
      <c r="M45" s="147"/>
      <c r="N45" s="147"/>
      <c r="O45" s="147"/>
      <c r="P45" s="147"/>
      <c r="Q45" s="147"/>
      <c r="R45" s="516">
        <f t="shared" ref="R45:R53" si="12">SUM(E45:Q45)</f>
        <v>4566776</v>
      </c>
      <c r="S45" s="147">
        <f>1571106+790125</f>
        <v>2361231</v>
      </c>
      <c r="T45" s="147"/>
      <c r="U45" s="143"/>
    </row>
    <row r="46" spans="1:21" s="144" customFormat="1">
      <c r="A46" s="145" t="s">
        <v>151</v>
      </c>
      <c r="B46" s="146">
        <f t="shared" si="11"/>
        <v>261619</v>
      </c>
      <c r="C46" s="147">
        <v>261619</v>
      </c>
      <c r="D46" s="147"/>
      <c r="E46" s="147">
        <f>C46</f>
        <v>261619</v>
      </c>
      <c r="F46" s="147"/>
      <c r="G46" s="147"/>
      <c r="H46" s="147"/>
      <c r="I46" s="147"/>
      <c r="J46" s="147"/>
      <c r="K46" s="147"/>
      <c r="L46" s="147"/>
      <c r="M46" s="147"/>
      <c r="N46" s="147"/>
      <c r="O46" s="147"/>
      <c r="P46" s="147"/>
      <c r="Q46" s="147"/>
      <c r="R46" s="516">
        <f t="shared" si="12"/>
        <v>261619</v>
      </c>
      <c r="S46" s="147">
        <v>196214</v>
      </c>
      <c r="T46" s="147"/>
      <c r="U46" s="143"/>
    </row>
    <row r="47" spans="1:21" s="144" customFormat="1">
      <c r="A47" s="186" t="s">
        <v>152</v>
      </c>
      <c r="B47" s="146">
        <f t="shared" si="11"/>
        <v>15000</v>
      </c>
      <c r="C47" s="147">
        <v>15000</v>
      </c>
      <c r="D47" s="147"/>
      <c r="E47" s="147">
        <f t="shared" ref="E47:E53" si="13">C47</f>
        <v>15000</v>
      </c>
      <c r="F47" s="147"/>
      <c r="G47" s="147"/>
      <c r="H47" s="147"/>
      <c r="I47" s="147"/>
      <c r="J47" s="147"/>
      <c r="K47" s="147"/>
      <c r="L47" s="147"/>
      <c r="M47" s="147"/>
      <c r="N47" s="147"/>
      <c r="O47" s="147"/>
      <c r="P47" s="147"/>
      <c r="Q47" s="147"/>
      <c r="R47" s="516">
        <f t="shared" si="12"/>
        <v>15000</v>
      </c>
      <c r="S47" s="147">
        <v>11250</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65405</v>
      </c>
      <c r="C49" s="147">
        <v>65405</v>
      </c>
      <c r="D49" s="147"/>
      <c r="E49" s="147">
        <f t="shared" si="13"/>
        <v>65405</v>
      </c>
      <c r="F49" s="147"/>
      <c r="G49" s="147"/>
      <c r="H49" s="147"/>
      <c r="I49" s="147"/>
      <c r="J49" s="147"/>
      <c r="K49" s="147"/>
      <c r="L49" s="147"/>
      <c r="M49" s="147"/>
      <c r="N49" s="147"/>
      <c r="O49" s="147"/>
      <c r="P49" s="147"/>
      <c r="Q49" s="147"/>
      <c r="R49" s="516">
        <f t="shared" si="12"/>
        <v>65405</v>
      </c>
      <c r="S49" s="147">
        <f>R49</f>
        <v>65405</v>
      </c>
      <c r="T49" s="147"/>
      <c r="U49" s="143"/>
    </row>
    <row r="50" spans="1:21" s="144" customFormat="1">
      <c r="A50" s="145" t="s">
        <v>156</v>
      </c>
      <c r="B50" s="146">
        <f t="shared" si="11"/>
        <v>100000</v>
      </c>
      <c r="C50" s="147">
        <v>100000</v>
      </c>
      <c r="D50" s="147"/>
      <c r="E50" s="147">
        <f t="shared" si="13"/>
        <v>100000</v>
      </c>
      <c r="F50" s="147"/>
      <c r="G50" s="147"/>
      <c r="H50" s="147"/>
      <c r="I50" s="147"/>
      <c r="J50" s="147"/>
      <c r="K50" s="147"/>
      <c r="L50" s="147"/>
      <c r="M50" s="147"/>
      <c r="N50" s="147"/>
      <c r="O50" s="147"/>
      <c r="P50" s="147"/>
      <c r="Q50" s="147"/>
      <c r="R50" s="516">
        <f t="shared" si="12"/>
        <v>100000</v>
      </c>
      <c r="S50" s="147">
        <v>75000</v>
      </c>
      <c r="T50" s="147"/>
      <c r="U50" s="143"/>
    </row>
    <row r="51" spans="1:21" s="144" customFormat="1">
      <c r="A51" s="283" t="s">
        <v>154</v>
      </c>
      <c r="B51" s="146">
        <f t="shared" si="11"/>
        <v>0</v>
      </c>
      <c r="C51" s="147"/>
      <c r="D51" s="147"/>
      <c r="E51" s="147">
        <f t="shared" si="13"/>
        <v>0</v>
      </c>
      <c r="F51" s="147"/>
      <c r="G51" s="147"/>
      <c r="H51" s="147"/>
      <c r="I51" s="147"/>
      <c r="J51" s="147"/>
      <c r="K51" s="147"/>
      <c r="L51" s="147"/>
      <c r="M51" s="147"/>
      <c r="N51" s="147"/>
      <c r="O51" s="147"/>
      <c r="P51" s="147"/>
      <c r="Q51" s="147"/>
      <c r="R51" s="516">
        <f t="shared" si="12"/>
        <v>0</v>
      </c>
      <c r="S51" s="147"/>
      <c r="T51" s="147"/>
      <c r="U51" s="143"/>
    </row>
    <row r="52" spans="1:21" s="144" customFormat="1">
      <c r="A52" s="145" t="s">
        <v>155</v>
      </c>
      <c r="B52" s="146">
        <f t="shared" si="11"/>
        <v>341000</v>
      </c>
      <c r="C52" s="147">
        <v>341000</v>
      </c>
      <c r="D52" s="147"/>
      <c r="E52" s="147">
        <f t="shared" si="13"/>
        <v>341000</v>
      </c>
      <c r="F52" s="147"/>
      <c r="G52" s="147"/>
      <c r="H52" s="147"/>
      <c r="I52" s="147"/>
      <c r="J52" s="147"/>
      <c r="K52" s="147"/>
      <c r="L52" s="147"/>
      <c r="M52" s="147"/>
      <c r="N52" s="147"/>
      <c r="O52" s="147"/>
      <c r="P52" s="147"/>
      <c r="Q52" s="147"/>
      <c r="R52" s="516">
        <f t="shared" si="12"/>
        <v>341000</v>
      </c>
      <c r="S52" s="147">
        <f>R52</f>
        <v>341000</v>
      </c>
      <c r="T52" s="147"/>
      <c r="U52" s="143"/>
    </row>
    <row r="53" spans="1:21" s="144" customFormat="1">
      <c r="A53" s="1149" t="s">
        <v>2717</v>
      </c>
      <c r="B53" s="146">
        <f t="shared" si="11"/>
        <v>25000</v>
      </c>
      <c r="C53" s="147">
        <v>25000</v>
      </c>
      <c r="D53" s="147"/>
      <c r="E53" s="147">
        <f t="shared" si="13"/>
        <v>25000</v>
      </c>
      <c r="F53" s="147"/>
      <c r="G53" s="147"/>
      <c r="H53" s="147"/>
      <c r="I53" s="147"/>
      <c r="J53" s="147"/>
      <c r="K53" s="147"/>
      <c r="L53" s="147"/>
      <c r="M53" s="147"/>
      <c r="N53" s="147"/>
      <c r="O53" s="147"/>
      <c r="P53" s="147"/>
      <c r="Q53" s="147"/>
      <c r="R53" s="516">
        <f t="shared" si="12"/>
        <v>25000</v>
      </c>
      <c r="S53" s="147">
        <f>R53</f>
        <v>25000</v>
      </c>
      <c r="T53" s="147"/>
      <c r="U53" s="143"/>
    </row>
    <row r="54" spans="1:21" s="153" customFormat="1">
      <c r="A54" s="149" t="s">
        <v>157</v>
      </c>
      <c r="B54" s="150">
        <f>SUM(C54:D54)</f>
        <v>5374800</v>
      </c>
      <c r="C54" s="150">
        <f t="shared" ref="C54:T54" si="14">SUM(C45:C53)</f>
        <v>5374800</v>
      </c>
      <c r="D54" s="150">
        <f t="shared" si="14"/>
        <v>0</v>
      </c>
      <c r="E54" s="150">
        <f t="shared" si="14"/>
        <v>4811961</v>
      </c>
      <c r="F54" s="150">
        <f t="shared" si="14"/>
        <v>0</v>
      </c>
      <c r="G54" s="150">
        <f t="shared" si="14"/>
        <v>562839</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5374800</v>
      </c>
      <c r="S54" s="150">
        <f t="shared" si="14"/>
        <v>3075100</v>
      </c>
      <c r="T54" s="150">
        <f t="shared" si="14"/>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0</v>
      </c>
      <c r="C56" s="147"/>
      <c r="D56" s="147"/>
      <c r="E56" s="147"/>
      <c r="F56" s="147"/>
      <c r="G56" s="147"/>
      <c r="H56" s="147"/>
      <c r="I56" s="147"/>
      <c r="J56" s="147"/>
      <c r="K56" s="147"/>
      <c r="L56" s="147"/>
      <c r="M56" s="147"/>
      <c r="N56" s="147"/>
      <c r="O56" s="147"/>
      <c r="P56" s="147"/>
      <c r="Q56" s="147"/>
      <c r="R56" s="516">
        <f t="shared" ref="R56:R61" si="16">SUM(E56:Q56)</f>
        <v>0</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10000</v>
      </c>
      <c r="C58" s="147">
        <v>10000</v>
      </c>
      <c r="D58" s="147"/>
      <c r="E58" s="147">
        <v>10000</v>
      </c>
      <c r="F58" s="147"/>
      <c r="G58" s="147"/>
      <c r="H58" s="147"/>
      <c r="I58" s="147"/>
      <c r="J58" s="147"/>
      <c r="K58" s="147"/>
      <c r="L58" s="147"/>
      <c r="M58" s="147"/>
      <c r="N58" s="147"/>
      <c r="O58" s="147"/>
      <c r="P58" s="147"/>
      <c r="Q58" s="147"/>
      <c r="R58" s="516">
        <f t="shared" si="16"/>
        <v>10000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2718</v>
      </c>
      <c r="B61" s="146">
        <f t="shared" si="15"/>
        <v>15000</v>
      </c>
      <c r="C61" s="147">
        <v>15000</v>
      </c>
      <c r="D61" s="147"/>
      <c r="E61" s="147">
        <v>15000</v>
      </c>
      <c r="F61" s="147"/>
      <c r="G61" s="147"/>
      <c r="H61" s="147"/>
      <c r="I61" s="147"/>
      <c r="J61" s="147"/>
      <c r="K61" s="147"/>
      <c r="L61" s="147"/>
      <c r="M61" s="147"/>
      <c r="N61" s="147"/>
      <c r="O61" s="147"/>
      <c r="P61" s="147"/>
      <c r="Q61" s="147"/>
      <c r="R61" s="516">
        <f t="shared" si="16"/>
        <v>15000</v>
      </c>
      <c r="S61" s="148"/>
      <c r="T61" s="148"/>
      <c r="U61" s="143"/>
    </row>
    <row r="62" spans="1:21" s="144" customFormat="1" ht="13.75" customHeight="1">
      <c r="A62" s="149" t="s">
        <v>301</v>
      </c>
      <c r="B62" s="146">
        <f>SUM(C62:D62)</f>
        <v>25000</v>
      </c>
      <c r="C62" s="146">
        <f t="shared" ref="C62:R62" si="17">SUM(C56:C61)</f>
        <v>25000</v>
      </c>
      <c r="D62" s="146">
        <f t="shared" si="17"/>
        <v>0</v>
      </c>
      <c r="E62" s="146">
        <f t="shared" si="17"/>
        <v>25000</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25000</v>
      </c>
      <c r="S62" s="148"/>
      <c r="T62" s="148"/>
      <c r="U62" s="143"/>
    </row>
    <row r="63" spans="1:21" s="144" customFormat="1">
      <c r="A63" s="154" t="s">
        <v>302</v>
      </c>
      <c r="B63" s="146">
        <f t="shared" ref="B63:R63" si="18">SUM(B8+B11+B13+B14+B15+B26+B27+B38+B42+B43+B54+B62)</f>
        <v>41564799</v>
      </c>
      <c r="C63" s="146">
        <f t="shared" si="18"/>
        <v>41564799</v>
      </c>
      <c r="D63" s="146">
        <f t="shared" si="18"/>
        <v>0</v>
      </c>
      <c r="E63" s="146">
        <f t="shared" si="18"/>
        <v>21988944</v>
      </c>
      <c r="F63" s="146">
        <f t="shared" si="18"/>
        <v>11300855</v>
      </c>
      <c r="G63" s="146">
        <f t="shared" si="18"/>
        <v>5000000</v>
      </c>
      <c r="H63" s="146">
        <f t="shared" si="18"/>
        <v>3175000</v>
      </c>
      <c r="I63" s="146">
        <f t="shared" si="18"/>
        <v>0</v>
      </c>
      <c r="J63" s="146">
        <f t="shared" si="18"/>
        <v>100000</v>
      </c>
      <c r="K63" s="146">
        <f t="shared" si="18"/>
        <v>0</v>
      </c>
      <c r="L63" s="146">
        <f t="shared" si="18"/>
        <v>0</v>
      </c>
      <c r="M63" s="146">
        <f t="shared" si="18"/>
        <v>0</v>
      </c>
      <c r="N63" s="146">
        <f t="shared" si="18"/>
        <v>0</v>
      </c>
      <c r="O63" s="146">
        <f t="shared" si="18"/>
        <v>0</v>
      </c>
      <c r="P63" s="146">
        <f t="shared" si="18"/>
        <v>0</v>
      </c>
      <c r="Q63" s="146">
        <f t="shared" si="18"/>
        <v>0</v>
      </c>
      <c r="R63" s="342">
        <f t="shared" si="18"/>
        <v>41564799</v>
      </c>
      <c r="S63" s="146">
        <f>SUM(S10+S13+S14+S15+S26+S27+S38+S42+S43+S54)</f>
        <v>39140099</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23">
      <c r="A69" s="1149" t="s">
        <v>2719</v>
      </c>
      <c r="B69" s="146">
        <f>SUM(C69+D69)</f>
        <v>225000</v>
      </c>
      <c r="C69" s="147">
        <f>75000+50000+50000+50000</f>
        <v>225000</v>
      </c>
      <c r="D69" s="147"/>
      <c r="E69" s="147">
        <f>C69</f>
        <v>225000</v>
      </c>
      <c r="F69" s="147"/>
      <c r="G69" s="147"/>
      <c r="H69" s="147"/>
      <c r="I69" s="147"/>
      <c r="J69" s="147"/>
      <c r="K69" s="147"/>
      <c r="L69" s="147"/>
      <c r="M69" s="147"/>
      <c r="N69" s="147"/>
      <c r="O69" s="147"/>
      <c r="P69" s="147"/>
      <c r="Q69" s="147"/>
      <c r="R69" s="516">
        <f>SUM(E69:Q69)</f>
        <v>225000</v>
      </c>
      <c r="S69" s="147">
        <v>75000</v>
      </c>
      <c r="T69" s="147"/>
      <c r="U69" s="143"/>
    </row>
    <row r="70" spans="1:21" s="144" customFormat="1">
      <c r="A70" s="149" t="s">
        <v>1644</v>
      </c>
      <c r="B70" s="146">
        <f>SUM(C70:D70)</f>
        <v>325000</v>
      </c>
      <c r="C70" s="146">
        <f>SUM(C65:C69)</f>
        <v>325000</v>
      </c>
      <c r="D70" s="146">
        <f>SUM(D65:D69)</f>
        <v>0</v>
      </c>
      <c r="E70" s="146">
        <f t="shared" ref="E70:T70" si="19">SUM(E65:E69)</f>
        <v>325000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325000</v>
      </c>
      <c r="S70" s="150">
        <f t="shared" si="19"/>
        <v>175000</v>
      </c>
      <c r="T70" s="150">
        <f t="shared" si="19"/>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1063963</v>
      </c>
      <c r="C75" s="147">
        <v>1063963</v>
      </c>
      <c r="D75" s="147"/>
      <c r="E75" s="147">
        <f>C75</f>
        <v>1063963</v>
      </c>
      <c r="F75" s="147"/>
      <c r="G75" s="147"/>
      <c r="H75" s="147"/>
      <c r="I75" s="147"/>
      <c r="J75" s="147"/>
      <c r="K75" s="147"/>
      <c r="L75" s="147"/>
      <c r="M75" s="147"/>
      <c r="N75" s="147"/>
      <c r="O75" s="147"/>
      <c r="P75" s="147"/>
      <c r="Q75" s="147"/>
      <c r="R75" s="516">
        <f>SUM(E75:Q75)</f>
        <v>1063963</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1063963</v>
      </c>
      <c r="C77" s="146">
        <f>SUM(C72:C76)</f>
        <v>1063963</v>
      </c>
      <c r="D77" s="146">
        <f>SUM(D72:D76)</f>
        <v>0</v>
      </c>
      <c r="E77" s="146">
        <f t="shared" ref="E77:Q77" si="20">SUM(E72:E76)</f>
        <v>1063963</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1063963</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1707750</v>
      </c>
      <c r="C79" s="147">
        <v>1707750</v>
      </c>
      <c r="D79" s="147"/>
      <c r="E79" s="147">
        <f>C79</f>
        <v>1707750</v>
      </c>
      <c r="F79" s="147"/>
      <c r="G79" s="147"/>
      <c r="H79" s="147"/>
      <c r="I79" s="147"/>
      <c r="J79" s="147"/>
      <c r="K79" s="147"/>
      <c r="L79" s="147"/>
      <c r="M79" s="147"/>
      <c r="N79" s="147"/>
      <c r="O79" s="147"/>
      <c r="P79" s="147"/>
      <c r="Q79" s="147"/>
      <c r="R79" s="516">
        <f>SUM(E79:Q79)</f>
        <v>1707750</v>
      </c>
      <c r="S79" s="147">
        <v>1707750</v>
      </c>
      <c r="T79" s="147"/>
      <c r="U79" s="143"/>
    </row>
    <row r="80" spans="1:21" s="144" customFormat="1">
      <c r="A80" s="283" t="s">
        <v>58</v>
      </c>
      <c r="B80" s="146">
        <f>SUM(C80:D80)</f>
        <v>476774</v>
      </c>
      <c r="C80" s="147">
        <v>476774</v>
      </c>
      <c r="D80" s="147"/>
      <c r="E80" s="147">
        <f>C80</f>
        <v>476774</v>
      </c>
      <c r="F80" s="147"/>
      <c r="G80" s="147"/>
      <c r="H80" s="147"/>
      <c r="I80" s="147"/>
      <c r="J80" s="147"/>
      <c r="K80" s="147"/>
      <c r="L80" s="147"/>
      <c r="M80" s="147"/>
      <c r="N80" s="147"/>
      <c r="O80" s="147"/>
      <c r="P80" s="147"/>
      <c r="Q80" s="147"/>
      <c r="R80" s="516">
        <f>SUM(E80:Q80)</f>
        <v>476774</v>
      </c>
      <c r="S80" s="147">
        <v>476774</v>
      </c>
      <c r="T80" s="147"/>
      <c r="U80" s="143"/>
    </row>
    <row r="81" spans="1:21" s="144" customFormat="1">
      <c r="A81" s="149" t="s">
        <v>1208</v>
      </c>
      <c r="B81" s="146">
        <f>SUM(C81:D81)</f>
        <v>2184524</v>
      </c>
      <c r="C81" s="509">
        <f>SUM(C79:C80)</f>
        <v>2184524</v>
      </c>
      <c r="D81" s="509">
        <f t="shared" ref="D81:T81" si="21">SUM(D79:D80)</f>
        <v>0</v>
      </c>
      <c r="E81" s="509">
        <f t="shared" si="21"/>
        <v>2184524</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2184524</v>
      </c>
      <c r="S81" s="509">
        <f t="shared" si="21"/>
        <v>2184524</v>
      </c>
      <c r="T81" s="509">
        <f t="shared" si="21"/>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2093</v>
      </c>
      <c r="B83" s="146">
        <f t="shared" ref="B83:B95" si="22">SUM(C83+D83)</f>
        <v>97036</v>
      </c>
      <c r="C83" s="147">
        <v>97036</v>
      </c>
      <c r="D83" s="147"/>
      <c r="E83" s="147">
        <f>C83</f>
        <v>97036</v>
      </c>
      <c r="F83" s="147"/>
      <c r="G83" s="147"/>
      <c r="H83" s="147"/>
      <c r="I83" s="147"/>
      <c r="J83" s="147"/>
      <c r="K83" s="147"/>
      <c r="L83" s="147"/>
      <c r="M83" s="147"/>
      <c r="N83" s="147"/>
      <c r="O83" s="147"/>
      <c r="P83" s="147"/>
      <c r="Q83" s="147"/>
      <c r="R83" s="516">
        <f t="shared" ref="R83:R95" si="23">SUM(E83:Q83)</f>
        <v>97036</v>
      </c>
      <c r="S83" s="148"/>
      <c r="T83" s="148"/>
      <c r="U83" s="143"/>
    </row>
    <row r="84" spans="1:21" s="144" customFormat="1">
      <c r="A84" s="145" t="s">
        <v>767</v>
      </c>
      <c r="B84" s="146">
        <f t="shared" si="22"/>
        <v>50000</v>
      </c>
      <c r="C84" s="147">
        <v>50000</v>
      </c>
      <c r="D84" s="147"/>
      <c r="E84" s="147">
        <f t="shared" ref="E84:E95" si="24">C84</f>
        <v>50000</v>
      </c>
      <c r="F84" s="147"/>
      <c r="G84" s="147"/>
      <c r="H84" s="147"/>
      <c r="I84" s="147"/>
      <c r="J84" s="147"/>
      <c r="K84" s="147"/>
      <c r="L84" s="147"/>
      <c r="M84" s="147"/>
      <c r="N84" s="147"/>
      <c r="O84" s="147"/>
      <c r="P84" s="147"/>
      <c r="Q84" s="147"/>
      <c r="R84" s="516">
        <f t="shared" si="23"/>
        <v>50000</v>
      </c>
      <c r="S84" s="147">
        <f>R84</f>
        <v>50000</v>
      </c>
      <c r="T84" s="147"/>
      <c r="U84" s="143"/>
    </row>
    <row r="85" spans="1:21" s="144" customFormat="1">
      <c r="A85" s="145" t="s">
        <v>768</v>
      </c>
      <c r="B85" s="146">
        <f t="shared" si="22"/>
        <v>1497109</v>
      </c>
      <c r="C85" s="147">
        <v>1497109</v>
      </c>
      <c r="D85" s="147"/>
      <c r="E85" s="147">
        <f t="shared" si="24"/>
        <v>1497109</v>
      </c>
      <c r="F85" s="147"/>
      <c r="G85" s="147"/>
      <c r="H85" s="147"/>
      <c r="I85" s="147"/>
      <c r="J85" s="147"/>
      <c r="K85" s="147"/>
      <c r="L85" s="147"/>
      <c r="M85" s="147"/>
      <c r="N85" s="147"/>
      <c r="O85" s="147"/>
      <c r="P85" s="147"/>
      <c r="Q85" s="147"/>
      <c r="R85" s="516">
        <f t="shared" si="23"/>
        <v>1497109</v>
      </c>
      <c r="S85" s="147">
        <f t="shared" ref="S85:S86" si="25">R85</f>
        <v>1497109</v>
      </c>
      <c r="T85" s="147"/>
      <c r="U85" s="143"/>
    </row>
    <row r="86" spans="1:21" s="144" customFormat="1">
      <c r="A86" s="145" t="s">
        <v>769</v>
      </c>
      <c r="B86" s="146">
        <f t="shared" si="22"/>
        <v>1442891</v>
      </c>
      <c r="C86" s="147">
        <v>1442891</v>
      </c>
      <c r="D86" s="147"/>
      <c r="E86" s="147">
        <f t="shared" si="24"/>
        <v>1442891</v>
      </c>
      <c r="F86" s="147"/>
      <c r="G86" s="147"/>
      <c r="H86" s="147"/>
      <c r="I86" s="147"/>
      <c r="J86" s="147"/>
      <c r="K86" s="147"/>
      <c r="L86" s="147"/>
      <c r="M86" s="147"/>
      <c r="N86" s="147"/>
      <c r="O86" s="147"/>
      <c r="P86" s="147"/>
      <c r="Q86" s="147"/>
      <c r="R86" s="516">
        <f t="shared" si="23"/>
        <v>1442891</v>
      </c>
      <c r="S86" s="147">
        <f t="shared" si="25"/>
        <v>1442891</v>
      </c>
      <c r="T86" s="147"/>
      <c r="U86" s="143"/>
    </row>
    <row r="87" spans="1:21" s="144" customFormat="1">
      <c r="A87" s="145" t="s">
        <v>770</v>
      </c>
      <c r="B87" s="146">
        <f t="shared" si="22"/>
        <v>0</v>
      </c>
      <c r="C87" s="147"/>
      <c r="D87" s="147"/>
      <c r="E87" s="147"/>
      <c r="F87" s="147"/>
      <c r="G87" s="147"/>
      <c r="H87" s="147"/>
      <c r="I87" s="147"/>
      <c r="J87" s="147"/>
      <c r="K87" s="147"/>
      <c r="L87" s="147"/>
      <c r="M87" s="147"/>
      <c r="N87" s="147"/>
      <c r="O87" s="147"/>
      <c r="P87" s="147"/>
      <c r="Q87" s="147"/>
      <c r="R87" s="516">
        <f t="shared" si="23"/>
        <v>0</v>
      </c>
      <c r="S87" s="147"/>
      <c r="T87" s="147"/>
      <c r="U87" s="143"/>
    </row>
    <row r="88" spans="1:21" s="144" customFormat="1">
      <c r="A88" s="145" t="s">
        <v>771</v>
      </c>
      <c r="B88" s="146">
        <f t="shared" si="22"/>
        <v>50000</v>
      </c>
      <c r="C88" s="147">
        <v>50000</v>
      </c>
      <c r="D88" s="147"/>
      <c r="E88" s="147">
        <f t="shared" si="24"/>
        <v>50000</v>
      </c>
      <c r="F88" s="147"/>
      <c r="G88" s="147"/>
      <c r="H88" s="147"/>
      <c r="I88" s="147"/>
      <c r="J88" s="147"/>
      <c r="K88" s="147"/>
      <c r="L88" s="147"/>
      <c r="M88" s="147"/>
      <c r="N88" s="147"/>
      <c r="O88" s="147"/>
      <c r="P88" s="147"/>
      <c r="Q88" s="147"/>
      <c r="R88" s="516">
        <f t="shared" si="23"/>
        <v>50000</v>
      </c>
      <c r="S88" s="148"/>
      <c r="T88" s="148"/>
      <c r="U88" s="143"/>
    </row>
    <row r="89" spans="1:21" s="144" customFormat="1">
      <c r="A89" s="145" t="s">
        <v>772</v>
      </c>
      <c r="B89" s="146">
        <f t="shared" si="22"/>
        <v>50000</v>
      </c>
      <c r="C89" s="147">
        <v>50000</v>
      </c>
      <c r="D89" s="147"/>
      <c r="E89" s="147">
        <f t="shared" si="24"/>
        <v>50000</v>
      </c>
      <c r="F89" s="147"/>
      <c r="G89" s="147"/>
      <c r="H89" s="147"/>
      <c r="I89" s="147"/>
      <c r="J89" s="147"/>
      <c r="K89" s="147"/>
      <c r="L89" s="147"/>
      <c r="M89" s="147"/>
      <c r="N89" s="147"/>
      <c r="O89" s="147"/>
      <c r="P89" s="147"/>
      <c r="Q89" s="147"/>
      <c r="R89" s="516">
        <f t="shared" si="23"/>
        <v>50000</v>
      </c>
      <c r="S89" s="147">
        <f>R89</f>
        <v>50000</v>
      </c>
      <c r="T89" s="147"/>
      <c r="U89" s="143"/>
    </row>
    <row r="90" spans="1:21" s="144" customFormat="1">
      <c r="A90" s="145" t="s">
        <v>773</v>
      </c>
      <c r="B90" s="146">
        <f t="shared" si="22"/>
        <v>15000</v>
      </c>
      <c r="C90" s="147">
        <v>15000</v>
      </c>
      <c r="D90" s="147"/>
      <c r="E90" s="147">
        <f t="shared" si="24"/>
        <v>15000</v>
      </c>
      <c r="F90" s="147"/>
      <c r="G90" s="147"/>
      <c r="H90" s="147"/>
      <c r="I90" s="147"/>
      <c r="J90" s="147"/>
      <c r="K90" s="147"/>
      <c r="L90" s="147"/>
      <c r="M90" s="147"/>
      <c r="N90" s="147"/>
      <c r="O90" s="147"/>
      <c r="P90" s="147"/>
      <c r="Q90" s="147"/>
      <c r="R90" s="516">
        <f t="shared" si="23"/>
        <v>15000</v>
      </c>
      <c r="S90" s="147">
        <f t="shared" ref="S90:S95" si="26">R90</f>
        <v>15000</v>
      </c>
      <c r="T90" s="147"/>
      <c r="U90" s="143"/>
    </row>
    <row r="91" spans="1:21" s="144" customFormat="1">
      <c r="A91" s="145" t="s">
        <v>372</v>
      </c>
      <c r="B91" s="146">
        <f t="shared" si="22"/>
        <v>50000</v>
      </c>
      <c r="C91" s="147">
        <v>50000</v>
      </c>
      <c r="D91" s="147"/>
      <c r="E91" s="147">
        <f t="shared" si="24"/>
        <v>50000</v>
      </c>
      <c r="F91" s="147"/>
      <c r="G91" s="147"/>
      <c r="H91" s="147"/>
      <c r="I91" s="147"/>
      <c r="J91" s="147"/>
      <c r="K91" s="147"/>
      <c r="L91" s="147"/>
      <c r="M91" s="147"/>
      <c r="N91" s="147"/>
      <c r="O91" s="147"/>
      <c r="P91" s="147"/>
      <c r="Q91" s="147"/>
      <c r="R91" s="516">
        <f t="shared" si="23"/>
        <v>50000</v>
      </c>
      <c r="S91" s="147">
        <f t="shared" si="26"/>
        <v>50000</v>
      </c>
      <c r="T91" s="147"/>
      <c r="U91" s="143"/>
    </row>
    <row r="92" spans="1:21" s="144" customFormat="1">
      <c r="A92" s="283" t="s">
        <v>1210</v>
      </c>
      <c r="B92" s="146">
        <f t="shared" si="22"/>
        <v>20000</v>
      </c>
      <c r="C92" s="147">
        <v>20000</v>
      </c>
      <c r="D92" s="147"/>
      <c r="E92" s="147">
        <f t="shared" si="24"/>
        <v>20000</v>
      </c>
      <c r="F92" s="147"/>
      <c r="G92" s="147"/>
      <c r="H92" s="147"/>
      <c r="I92" s="147"/>
      <c r="J92" s="147"/>
      <c r="K92" s="147"/>
      <c r="L92" s="147"/>
      <c r="M92" s="147"/>
      <c r="N92" s="147"/>
      <c r="O92" s="147"/>
      <c r="P92" s="147"/>
      <c r="Q92" s="147"/>
      <c r="R92" s="516">
        <f t="shared" si="23"/>
        <v>20000</v>
      </c>
      <c r="S92" s="147">
        <f t="shared" si="26"/>
        <v>20000</v>
      </c>
      <c r="T92" s="147"/>
      <c r="U92" s="143"/>
    </row>
    <row r="93" spans="1:21" s="144" customFormat="1">
      <c r="A93" s="1149" t="s">
        <v>2720</v>
      </c>
      <c r="B93" s="146">
        <f t="shared" si="22"/>
        <v>9188</v>
      </c>
      <c r="C93" s="147">
        <v>9188</v>
      </c>
      <c r="D93" s="147"/>
      <c r="E93" s="147">
        <f t="shared" si="24"/>
        <v>9188</v>
      </c>
      <c r="F93" s="147"/>
      <c r="G93" s="147"/>
      <c r="H93" s="147"/>
      <c r="I93" s="147"/>
      <c r="J93" s="147"/>
      <c r="K93" s="147"/>
      <c r="L93" s="147"/>
      <c r="M93" s="147"/>
      <c r="N93" s="147"/>
      <c r="O93" s="147"/>
      <c r="P93" s="147"/>
      <c r="Q93" s="147"/>
      <c r="R93" s="516">
        <f t="shared" si="23"/>
        <v>9188</v>
      </c>
      <c r="S93" s="147">
        <f t="shared" si="26"/>
        <v>9188</v>
      </c>
      <c r="T93" s="147"/>
      <c r="U93" s="143"/>
    </row>
    <row r="94" spans="1:21" s="144" customFormat="1">
      <c r="A94" s="1149" t="s">
        <v>2721</v>
      </c>
      <c r="B94" s="146">
        <f t="shared" si="22"/>
        <v>250000</v>
      </c>
      <c r="C94" s="147">
        <v>250000</v>
      </c>
      <c r="D94" s="147"/>
      <c r="E94" s="147">
        <f t="shared" si="24"/>
        <v>250000</v>
      </c>
      <c r="F94" s="147"/>
      <c r="G94" s="147"/>
      <c r="H94" s="147"/>
      <c r="I94" s="147"/>
      <c r="J94" s="147"/>
      <c r="K94" s="147"/>
      <c r="L94" s="147"/>
      <c r="M94" s="147"/>
      <c r="N94" s="147"/>
      <c r="O94" s="147"/>
      <c r="P94" s="147"/>
      <c r="Q94" s="147"/>
      <c r="R94" s="516">
        <f t="shared" si="23"/>
        <v>250000</v>
      </c>
      <c r="S94" s="147">
        <f t="shared" si="26"/>
        <v>250000</v>
      </c>
      <c r="T94" s="147"/>
      <c r="U94" s="143"/>
    </row>
    <row r="95" spans="1:21" s="144" customFormat="1">
      <c r="A95" s="1149" t="s">
        <v>2722</v>
      </c>
      <c r="B95" s="146">
        <f t="shared" si="22"/>
        <v>500000</v>
      </c>
      <c r="C95" s="147">
        <v>500000</v>
      </c>
      <c r="D95" s="147"/>
      <c r="E95" s="147">
        <f t="shared" si="24"/>
        <v>500000</v>
      </c>
      <c r="F95" s="147"/>
      <c r="G95" s="147"/>
      <c r="H95" s="147"/>
      <c r="I95" s="147"/>
      <c r="J95" s="147"/>
      <c r="K95" s="147"/>
      <c r="L95" s="147"/>
      <c r="M95" s="147"/>
      <c r="N95" s="147"/>
      <c r="O95" s="147"/>
      <c r="P95" s="147"/>
      <c r="Q95" s="147"/>
      <c r="R95" s="516">
        <f t="shared" si="23"/>
        <v>500000</v>
      </c>
      <c r="S95" s="147">
        <f t="shared" si="26"/>
        <v>500000</v>
      </c>
      <c r="T95" s="147"/>
      <c r="U95" s="143"/>
    </row>
    <row r="96" spans="1:21" s="144" customFormat="1">
      <c r="A96" s="149" t="s">
        <v>774</v>
      </c>
      <c r="B96" s="146">
        <f>SUM(C96:D96)</f>
        <v>4031224</v>
      </c>
      <c r="C96" s="146">
        <f t="shared" ref="C96:R96" si="27">SUM(C83:C95)</f>
        <v>4031224</v>
      </c>
      <c r="D96" s="146">
        <f t="shared" si="27"/>
        <v>0</v>
      </c>
      <c r="E96" s="146">
        <f t="shared" si="27"/>
        <v>4031224</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2">
        <f t="shared" si="27"/>
        <v>4031224</v>
      </c>
      <c r="S96" s="150">
        <f>SUM(S84:S87,S89:S95)</f>
        <v>3884188</v>
      </c>
      <c r="T96" s="146">
        <f>SUM(T84:T87,T89:T95)</f>
        <v>0</v>
      </c>
      <c r="U96" s="143"/>
    </row>
    <row r="97" spans="1:21" s="144" customFormat="1">
      <c r="A97" s="149" t="s">
        <v>775</v>
      </c>
      <c r="B97" s="146">
        <f>SUM(C97:D97)</f>
        <v>49169510</v>
      </c>
      <c r="C97" s="146">
        <f t="shared" ref="C97:R97" si="28">SUM(C63+C70+C77+C81+C96)</f>
        <v>49169510</v>
      </c>
      <c r="D97" s="146">
        <f t="shared" si="28"/>
        <v>0</v>
      </c>
      <c r="E97" s="146">
        <f t="shared" si="28"/>
        <v>29593655</v>
      </c>
      <c r="F97" s="146">
        <f t="shared" si="28"/>
        <v>11300855</v>
      </c>
      <c r="G97" s="146">
        <f t="shared" si="28"/>
        <v>5000000</v>
      </c>
      <c r="H97" s="146">
        <f t="shared" si="28"/>
        <v>3175000</v>
      </c>
      <c r="I97" s="146">
        <f t="shared" si="28"/>
        <v>0</v>
      </c>
      <c r="J97" s="146">
        <f t="shared" si="28"/>
        <v>100000</v>
      </c>
      <c r="K97" s="146">
        <f t="shared" si="28"/>
        <v>0</v>
      </c>
      <c r="L97" s="146">
        <f t="shared" si="28"/>
        <v>0</v>
      </c>
      <c r="M97" s="146">
        <f t="shared" si="28"/>
        <v>0</v>
      </c>
      <c r="N97" s="146">
        <f t="shared" si="28"/>
        <v>0</v>
      </c>
      <c r="O97" s="146">
        <f t="shared" si="28"/>
        <v>0</v>
      </c>
      <c r="P97" s="146">
        <f t="shared" si="28"/>
        <v>0</v>
      </c>
      <c r="Q97" s="146">
        <f t="shared" si="28"/>
        <v>0</v>
      </c>
      <c r="R97" s="146">
        <f t="shared" si="28"/>
        <v>49169510</v>
      </c>
      <c r="S97" s="146">
        <f>SUM(S63+S70+S81+S96)</f>
        <v>45383811</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6800000</v>
      </c>
      <c r="C99" s="979">
        <v>6800000</v>
      </c>
      <c r="D99" s="979"/>
      <c r="E99" s="979">
        <f>C99-I99</f>
        <v>2823968</v>
      </c>
      <c r="F99" s="147"/>
      <c r="G99" s="147"/>
      <c r="H99" s="147"/>
      <c r="I99" s="147">
        <v>3976032</v>
      </c>
      <c r="J99" s="147"/>
      <c r="K99" s="147"/>
      <c r="L99" s="147"/>
      <c r="M99" s="147"/>
      <c r="N99" s="147"/>
      <c r="O99" s="147"/>
      <c r="P99" s="147"/>
      <c r="Q99" s="147"/>
      <c r="R99" s="516">
        <f>SUM(E99:Q99)</f>
        <v>6800000</v>
      </c>
      <c r="S99" s="147">
        <f>R99</f>
        <v>6800000</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6800000</v>
      </c>
      <c r="C104" s="146">
        <f>SUM(C99:C103)</f>
        <v>6800000</v>
      </c>
      <c r="D104" s="146">
        <f t="shared" ref="D104:T104" si="29">SUM(D99:D103)</f>
        <v>0</v>
      </c>
      <c r="E104" s="146">
        <f t="shared" si="29"/>
        <v>2823968</v>
      </c>
      <c r="F104" s="146">
        <f t="shared" si="29"/>
        <v>0</v>
      </c>
      <c r="G104" s="146">
        <f t="shared" si="29"/>
        <v>0</v>
      </c>
      <c r="H104" s="146">
        <f t="shared" si="29"/>
        <v>0</v>
      </c>
      <c r="I104" s="146">
        <f t="shared" si="29"/>
        <v>3976032</v>
      </c>
      <c r="J104" s="146">
        <f t="shared" si="29"/>
        <v>0</v>
      </c>
      <c r="K104" s="146">
        <f t="shared" si="29"/>
        <v>0</v>
      </c>
      <c r="L104" s="146">
        <f t="shared" si="29"/>
        <v>0</v>
      </c>
      <c r="M104" s="146">
        <f t="shared" si="29"/>
        <v>0</v>
      </c>
      <c r="N104" s="146">
        <f t="shared" si="29"/>
        <v>0</v>
      </c>
      <c r="O104" s="146">
        <f t="shared" si="29"/>
        <v>0</v>
      </c>
      <c r="P104" s="146">
        <f t="shared" si="29"/>
        <v>0</v>
      </c>
      <c r="Q104" s="146">
        <f t="shared" si="29"/>
        <v>0</v>
      </c>
      <c r="R104" s="342">
        <f t="shared" si="29"/>
        <v>6800000</v>
      </c>
      <c r="S104" s="150">
        <f t="shared" si="29"/>
        <v>6800000</v>
      </c>
      <c r="T104" s="150">
        <f t="shared" si="29"/>
        <v>0</v>
      </c>
      <c r="U104" s="143"/>
    </row>
    <row r="105" spans="1:21" s="144" customFormat="1">
      <c r="A105" s="149" t="s">
        <v>780</v>
      </c>
      <c r="B105" s="150">
        <f>SUM(C105:D105)</f>
        <v>55969510</v>
      </c>
      <c r="C105" s="150">
        <f t="shared" ref="C105:R105" si="30">SUM(C97+C104)</f>
        <v>55969510</v>
      </c>
      <c r="D105" s="150">
        <f t="shared" si="30"/>
        <v>0</v>
      </c>
      <c r="E105" s="150">
        <f t="shared" si="30"/>
        <v>32417623</v>
      </c>
      <c r="F105" s="150">
        <f t="shared" si="30"/>
        <v>11300855</v>
      </c>
      <c r="G105" s="150">
        <f t="shared" si="30"/>
        <v>5000000</v>
      </c>
      <c r="H105" s="150">
        <f t="shared" si="30"/>
        <v>3175000</v>
      </c>
      <c r="I105" s="150">
        <f t="shared" si="30"/>
        <v>3976032</v>
      </c>
      <c r="J105" s="150">
        <f t="shared" si="30"/>
        <v>100000</v>
      </c>
      <c r="K105" s="150">
        <f t="shared" si="30"/>
        <v>0</v>
      </c>
      <c r="L105" s="150">
        <f t="shared" si="30"/>
        <v>0</v>
      </c>
      <c r="M105" s="150">
        <f t="shared" si="30"/>
        <v>0</v>
      </c>
      <c r="N105" s="150">
        <f t="shared" si="30"/>
        <v>0</v>
      </c>
      <c r="O105" s="150">
        <f t="shared" si="30"/>
        <v>0</v>
      </c>
      <c r="P105" s="150">
        <f t="shared" si="30"/>
        <v>0</v>
      </c>
      <c r="Q105" s="150">
        <f t="shared" si="30"/>
        <v>0</v>
      </c>
      <c r="R105" s="342">
        <f t="shared" si="30"/>
        <v>55969510</v>
      </c>
      <c r="S105" s="150">
        <f>S97+S104</f>
        <v>52183811</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52183811</v>
      </c>
      <c r="T107" s="150">
        <f>T105+T106</f>
        <v>0</v>
      </c>
    </row>
    <row r="108" spans="1:21" s="189" customFormat="1">
      <c r="A108" s="162" t="s">
        <v>879</v>
      </c>
      <c r="B108" s="157"/>
      <c r="C108" s="157"/>
      <c r="D108" s="157"/>
      <c r="E108" s="301">
        <f>Application!AO640</f>
        <v>32417623</v>
      </c>
      <c r="F108" s="301">
        <f>Application!AO627</f>
        <v>11300855</v>
      </c>
      <c r="G108" s="301">
        <f>Application!AO628</f>
        <v>5000000</v>
      </c>
      <c r="H108" s="301">
        <f>Application!AO629</f>
        <v>3175000</v>
      </c>
      <c r="I108" s="301">
        <f>Application!AO630</f>
        <v>3976032</v>
      </c>
      <c r="J108" s="301">
        <f>Application!AO631</f>
        <v>100000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3" t="s">
        <v>989</v>
      </c>
      <c r="E122" s="1873"/>
      <c r="F122" s="1873"/>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5" t="s">
        <v>1223</v>
      </c>
      <c r="E123" s="1556"/>
      <c r="F123" s="1556"/>
      <c r="G123" s="1556"/>
      <c r="H123" s="1556"/>
      <c r="I123" s="1556"/>
      <c r="J123" s="1556"/>
      <c r="K123" s="1556"/>
      <c r="L123" s="1556"/>
      <c r="M123" s="1556"/>
      <c r="N123" s="1556"/>
      <c r="O123" s="1556"/>
      <c r="P123" s="1556"/>
      <c r="Q123" s="1556"/>
      <c r="R123" s="1556"/>
      <c r="S123" s="1556"/>
      <c r="T123" s="324"/>
      <c r="U123" s="326"/>
    </row>
    <row r="124" spans="1:21" ht="12.5">
      <c r="A124" s="117" t="s">
        <v>991</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5">
      <c r="A125" s="117" t="s">
        <v>992</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5">
      <c r="A129" s="117" t="s">
        <v>300</v>
      </c>
      <c r="B129" s="333"/>
      <c r="C129" s="117"/>
      <c r="D129" s="1872" t="s">
        <v>996</v>
      </c>
      <c r="E129" s="1872"/>
      <c r="F129" s="1872"/>
      <c r="G129" s="1872"/>
      <c r="H129" s="1872"/>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6" t="s">
        <v>999</v>
      </c>
      <c r="E132" s="1866"/>
      <c r="F132" s="1866"/>
      <c r="G132" s="1866"/>
      <c r="H132" s="1866"/>
      <c r="I132" s="117"/>
      <c r="J132" s="1866" t="s">
        <v>1000</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3">
      <c r="A139" s="1863" t="s">
        <v>1003</v>
      </c>
      <c r="B139" s="1863"/>
      <c r="C139" s="1863"/>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0" workbookViewId="0">
      <selection activeCell="F100" sqref="F100"/>
    </sheetView>
  </sheetViews>
  <sheetFormatPr defaultColWidth="0" defaultRowHeight="11.5" zeroHeight="1"/>
  <cols>
    <col min="1" max="1" width="32.6328125" style="397" customWidth="1"/>
    <col min="2" max="3" width="12.08984375" style="393" customWidth="1"/>
    <col min="4" max="6" width="12.81640625" style="393" customWidth="1"/>
    <col min="7" max="9" width="12.08984375" style="393" customWidth="1"/>
    <col min="10" max="10" width="12.08984375" style="394" customWidth="1"/>
    <col min="11" max="11" width="8.81640625" style="395" hidden="1" customWidth="1"/>
    <col min="12" max="21" width="8.81640625" style="393" hidden="1" customWidth="1"/>
    <col min="22" max="23" width="0" style="393" hidden="1"/>
    <col min="24" max="256" width="8.81640625" style="393" hidden="1"/>
    <col min="257" max="257" width="32.6328125" style="393" hidden="1" customWidth="1"/>
    <col min="258" max="259" width="12.08984375" style="393" hidden="1" customWidth="1"/>
    <col min="260" max="260" width="12.81640625" style="393" hidden="1" customWidth="1"/>
    <col min="261" max="266" width="12.08984375" style="393" hidden="1" customWidth="1"/>
    <col min="267" max="277" width="8.81640625" style="393" hidden="1" customWidth="1"/>
    <col min="278" max="512" width="8.81640625" style="393" hidden="1"/>
    <col min="513" max="513" width="32.6328125" style="393" hidden="1" customWidth="1"/>
    <col min="514" max="515" width="12.08984375" style="393" hidden="1" customWidth="1"/>
    <col min="516" max="516" width="12.81640625" style="393" hidden="1" customWidth="1"/>
    <col min="517" max="522" width="12.08984375" style="393" hidden="1" customWidth="1"/>
    <col min="523" max="533" width="8.81640625" style="393" hidden="1" customWidth="1"/>
    <col min="534" max="768" width="8.81640625" style="393" hidden="1"/>
    <col min="769" max="769" width="32.6328125" style="393" hidden="1" customWidth="1"/>
    <col min="770" max="771" width="12.08984375" style="393" hidden="1" customWidth="1"/>
    <col min="772" max="772" width="12.81640625" style="393" hidden="1" customWidth="1"/>
    <col min="773" max="778" width="12.08984375" style="393" hidden="1" customWidth="1"/>
    <col min="779" max="789" width="8.81640625" style="393" hidden="1" customWidth="1"/>
    <col min="790" max="1024" width="8.81640625" style="393" hidden="1"/>
    <col min="1025" max="1025" width="32.6328125" style="393" hidden="1" customWidth="1"/>
    <col min="1026" max="1027" width="12.08984375" style="393" hidden="1" customWidth="1"/>
    <col min="1028" max="1028" width="12.81640625" style="393" hidden="1" customWidth="1"/>
    <col min="1029" max="1034" width="12.08984375" style="393" hidden="1" customWidth="1"/>
    <col min="1035" max="1045" width="8.81640625" style="393" hidden="1" customWidth="1"/>
    <col min="1046" max="1280" width="8.81640625" style="393" hidden="1"/>
    <col min="1281" max="1281" width="32.6328125" style="393" hidden="1" customWidth="1"/>
    <col min="1282" max="1283" width="12.08984375" style="393" hidden="1" customWidth="1"/>
    <col min="1284" max="1284" width="12.81640625" style="393" hidden="1" customWidth="1"/>
    <col min="1285" max="1290" width="12.08984375" style="393" hidden="1" customWidth="1"/>
    <col min="1291" max="1301" width="8.81640625" style="393" hidden="1" customWidth="1"/>
    <col min="1302" max="1536" width="8.81640625" style="393" hidden="1"/>
    <col min="1537" max="1537" width="32.6328125" style="393" hidden="1" customWidth="1"/>
    <col min="1538" max="1539" width="12.08984375" style="393" hidden="1" customWidth="1"/>
    <col min="1540" max="1540" width="12.81640625" style="393" hidden="1" customWidth="1"/>
    <col min="1541" max="1546" width="12.08984375" style="393" hidden="1" customWidth="1"/>
    <col min="1547" max="1557" width="8.81640625" style="393" hidden="1" customWidth="1"/>
    <col min="1558" max="1792" width="8.81640625" style="393" hidden="1"/>
    <col min="1793" max="1793" width="32.6328125" style="393" hidden="1" customWidth="1"/>
    <col min="1794" max="1795" width="12.08984375" style="393" hidden="1" customWidth="1"/>
    <col min="1796" max="1796" width="12.81640625" style="393" hidden="1" customWidth="1"/>
    <col min="1797" max="1802" width="12.08984375" style="393" hidden="1" customWidth="1"/>
    <col min="1803" max="1813" width="8.81640625" style="393" hidden="1" customWidth="1"/>
    <col min="1814" max="2048" width="8.81640625" style="393" hidden="1"/>
    <col min="2049" max="2049" width="32.6328125" style="393" hidden="1" customWidth="1"/>
    <col min="2050" max="2051" width="12.08984375" style="393" hidden="1" customWidth="1"/>
    <col min="2052" max="2052" width="12.81640625" style="393" hidden="1" customWidth="1"/>
    <col min="2053" max="2058" width="12.08984375" style="393" hidden="1" customWidth="1"/>
    <col min="2059" max="2069" width="8.81640625" style="393" hidden="1" customWidth="1"/>
    <col min="2070" max="2304" width="8.81640625" style="393" hidden="1"/>
    <col min="2305" max="2305" width="32.6328125" style="393" hidden="1" customWidth="1"/>
    <col min="2306" max="2307" width="12.08984375" style="393" hidden="1" customWidth="1"/>
    <col min="2308" max="2308" width="12.81640625" style="393" hidden="1" customWidth="1"/>
    <col min="2309" max="2314" width="12.08984375" style="393" hidden="1" customWidth="1"/>
    <col min="2315" max="2325" width="8.81640625" style="393" hidden="1" customWidth="1"/>
    <col min="2326" max="2560" width="8.81640625" style="393" hidden="1"/>
    <col min="2561" max="2561" width="32.6328125" style="393" hidden="1" customWidth="1"/>
    <col min="2562" max="2563" width="12.08984375" style="393" hidden="1" customWidth="1"/>
    <col min="2564" max="2564" width="12.81640625" style="393" hidden="1" customWidth="1"/>
    <col min="2565" max="2570" width="12.08984375" style="393" hidden="1" customWidth="1"/>
    <col min="2571" max="2581" width="8.81640625" style="393" hidden="1" customWidth="1"/>
    <col min="2582" max="2816" width="8.81640625" style="393" hidden="1"/>
    <col min="2817" max="2817" width="32.6328125" style="393" hidden="1" customWidth="1"/>
    <col min="2818" max="2819" width="12.08984375" style="393" hidden="1" customWidth="1"/>
    <col min="2820" max="2820" width="12.81640625" style="393" hidden="1" customWidth="1"/>
    <col min="2821" max="2826" width="12.08984375" style="393" hidden="1" customWidth="1"/>
    <col min="2827" max="2837" width="8.81640625" style="393" hidden="1" customWidth="1"/>
    <col min="2838" max="3072" width="8.81640625" style="393" hidden="1"/>
    <col min="3073" max="3073" width="32.6328125" style="393" hidden="1" customWidth="1"/>
    <col min="3074" max="3075" width="12.08984375" style="393" hidden="1" customWidth="1"/>
    <col min="3076" max="3076" width="12.81640625" style="393" hidden="1" customWidth="1"/>
    <col min="3077" max="3082" width="12.08984375" style="393" hidden="1" customWidth="1"/>
    <col min="3083" max="3093" width="8.81640625" style="393" hidden="1" customWidth="1"/>
    <col min="3094" max="3328" width="8.81640625" style="393" hidden="1"/>
    <col min="3329" max="3329" width="32.6328125" style="393" hidden="1" customWidth="1"/>
    <col min="3330" max="3331" width="12.08984375" style="393" hidden="1" customWidth="1"/>
    <col min="3332" max="3332" width="12.81640625" style="393" hidden="1" customWidth="1"/>
    <col min="3333" max="3338" width="12.08984375" style="393" hidden="1" customWidth="1"/>
    <col min="3339" max="3349" width="8.81640625" style="393" hidden="1" customWidth="1"/>
    <col min="3350" max="3584" width="8.81640625" style="393" hidden="1"/>
    <col min="3585" max="3585" width="32.6328125" style="393" hidden="1" customWidth="1"/>
    <col min="3586" max="3587" width="12.08984375" style="393" hidden="1" customWidth="1"/>
    <col min="3588" max="3588" width="12.81640625" style="393" hidden="1" customWidth="1"/>
    <col min="3589" max="3594" width="12.08984375" style="393" hidden="1" customWidth="1"/>
    <col min="3595" max="3605" width="8.81640625" style="393" hidden="1" customWidth="1"/>
    <col min="3606" max="3840" width="8.81640625" style="393" hidden="1"/>
    <col min="3841" max="3841" width="32.6328125" style="393" hidden="1" customWidth="1"/>
    <col min="3842" max="3843" width="12.08984375" style="393" hidden="1" customWidth="1"/>
    <col min="3844" max="3844" width="12.81640625" style="393" hidden="1" customWidth="1"/>
    <col min="3845" max="3850" width="12.08984375" style="393" hidden="1" customWidth="1"/>
    <col min="3851" max="3861" width="8.81640625" style="393" hidden="1" customWidth="1"/>
    <col min="3862" max="4096" width="8.81640625" style="393" hidden="1"/>
    <col min="4097" max="4097" width="32.6328125" style="393" hidden="1" customWidth="1"/>
    <col min="4098" max="4099" width="12.08984375" style="393" hidden="1" customWidth="1"/>
    <col min="4100" max="4100" width="12.81640625" style="393" hidden="1" customWidth="1"/>
    <col min="4101" max="4106" width="12.08984375" style="393" hidden="1" customWidth="1"/>
    <col min="4107" max="4117" width="8.81640625" style="393" hidden="1" customWidth="1"/>
    <col min="4118" max="4352" width="8.81640625" style="393" hidden="1"/>
    <col min="4353" max="4353" width="32.6328125" style="393" hidden="1" customWidth="1"/>
    <col min="4354" max="4355" width="12.08984375" style="393" hidden="1" customWidth="1"/>
    <col min="4356" max="4356" width="12.81640625" style="393" hidden="1" customWidth="1"/>
    <col min="4357" max="4362" width="12.08984375" style="393" hidden="1" customWidth="1"/>
    <col min="4363" max="4373" width="8.81640625" style="393" hidden="1" customWidth="1"/>
    <col min="4374" max="4608" width="8.81640625" style="393" hidden="1"/>
    <col min="4609" max="4609" width="32.6328125" style="393" hidden="1" customWidth="1"/>
    <col min="4610" max="4611" width="12.08984375" style="393" hidden="1" customWidth="1"/>
    <col min="4612" max="4612" width="12.81640625" style="393" hidden="1" customWidth="1"/>
    <col min="4613" max="4618" width="12.08984375" style="393" hidden="1" customWidth="1"/>
    <col min="4619" max="4629" width="8.81640625" style="393" hidden="1" customWidth="1"/>
    <col min="4630" max="4864" width="8.81640625" style="393" hidden="1"/>
    <col min="4865" max="4865" width="32.6328125" style="393" hidden="1" customWidth="1"/>
    <col min="4866" max="4867" width="12.08984375" style="393" hidden="1" customWidth="1"/>
    <col min="4868" max="4868" width="12.81640625" style="393" hidden="1" customWidth="1"/>
    <col min="4869" max="4874" width="12.08984375" style="393" hidden="1" customWidth="1"/>
    <col min="4875" max="4885" width="8.81640625" style="393" hidden="1" customWidth="1"/>
    <col min="4886" max="5120" width="8.81640625" style="393" hidden="1"/>
    <col min="5121" max="5121" width="32.6328125" style="393" hidden="1" customWidth="1"/>
    <col min="5122" max="5123" width="12.08984375" style="393" hidden="1" customWidth="1"/>
    <col min="5124" max="5124" width="12.81640625" style="393" hidden="1" customWidth="1"/>
    <col min="5125" max="5130" width="12.08984375" style="393" hidden="1" customWidth="1"/>
    <col min="5131" max="5141" width="8.81640625" style="393" hidden="1" customWidth="1"/>
    <col min="5142" max="5376" width="8.81640625" style="393" hidden="1"/>
    <col min="5377" max="5377" width="32.6328125" style="393" hidden="1" customWidth="1"/>
    <col min="5378" max="5379" width="12.08984375" style="393" hidden="1" customWidth="1"/>
    <col min="5380" max="5380" width="12.81640625" style="393" hidden="1" customWidth="1"/>
    <col min="5381" max="5386" width="12.08984375" style="393" hidden="1" customWidth="1"/>
    <col min="5387" max="5397" width="8.81640625" style="393" hidden="1" customWidth="1"/>
    <col min="5398" max="5632" width="8.81640625" style="393" hidden="1"/>
    <col min="5633" max="5633" width="32.6328125" style="393" hidden="1" customWidth="1"/>
    <col min="5634" max="5635" width="12.08984375" style="393" hidden="1" customWidth="1"/>
    <col min="5636" max="5636" width="12.81640625" style="393" hidden="1" customWidth="1"/>
    <col min="5637" max="5642" width="12.08984375" style="393" hidden="1" customWidth="1"/>
    <col min="5643" max="5653" width="8.81640625" style="393" hidden="1" customWidth="1"/>
    <col min="5654" max="5888" width="8.81640625" style="393" hidden="1"/>
    <col min="5889" max="5889" width="32.6328125" style="393" hidden="1" customWidth="1"/>
    <col min="5890" max="5891" width="12.08984375" style="393" hidden="1" customWidth="1"/>
    <col min="5892" max="5892" width="12.81640625" style="393" hidden="1" customWidth="1"/>
    <col min="5893" max="5898" width="12.08984375" style="393" hidden="1" customWidth="1"/>
    <col min="5899" max="5909" width="8.81640625" style="393" hidden="1" customWidth="1"/>
    <col min="5910" max="6144" width="8.81640625" style="393" hidden="1"/>
    <col min="6145" max="6145" width="32.6328125" style="393" hidden="1" customWidth="1"/>
    <col min="6146" max="6147" width="12.08984375" style="393" hidden="1" customWidth="1"/>
    <col min="6148" max="6148" width="12.81640625" style="393" hidden="1" customWidth="1"/>
    <col min="6149" max="6154" width="12.08984375" style="393" hidden="1" customWidth="1"/>
    <col min="6155" max="6165" width="8.81640625" style="393" hidden="1" customWidth="1"/>
    <col min="6166" max="6400" width="8.81640625" style="393" hidden="1"/>
    <col min="6401" max="6401" width="32.6328125" style="393" hidden="1" customWidth="1"/>
    <col min="6402" max="6403" width="12.08984375" style="393" hidden="1" customWidth="1"/>
    <col min="6404" max="6404" width="12.81640625" style="393" hidden="1" customWidth="1"/>
    <col min="6405" max="6410" width="12.08984375" style="393" hidden="1" customWidth="1"/>
    <col min="6411" max="6421" width="8.81640625" style="393" hidden="1" customWidth="1"/>
    <col min="6422" max="6656" width="8.81640625" style="393" hidden="1"/>
    <col min="6657" max="6657" width="32.6328125" style="393" hidden="1" customWidth="1"/>
    <col min="6658" max="6659" width="12.08984375" style="393" hidden="1" customWidth="1"/>
    <col min="6660" max="6660" width="12.81640625" style="393" hidden="1" customWidth="1"/>
    <col min="6661" max="6666" width="12.08984375" style="393" hidden="1" customWidth="1"/>
    <col min="6667" max="6677" width="8.81640625" style="393" hidden="1" customWidth="1"/>
    <col min="6678" max="6912" width="8.81640625" style="393" hidden="1"/>
    <col min="6913" max="6913" width="32.6328125" style="393" hidden="1" customWidth="1"/>
    <col min="6914" max="6915" width="12.08984375" style="393" hidden="1" customWidth="1"/>
    <col min="6916" max="6916" width="12.81640625" style="393" hidden="1" customWidth="1"/>
    <col min="6917" max="6922" width="12.08984375" style="393" hidden="1" customWidth="1"/>
    <col min="6923" max="6933" width="8.81640625" style="393" hidden="1" customWidth="1"/>
    <col min="6934" max="7168" width="8.81640625" style="393" hidden="1"/>
    <col min="7169" max="7169" width="32.6328125" style="393" hidden="1" customWidth="1"/>
    <col min="7170" max="7171" width="12.08984375" style="393" hidden="1" customWidth="1"/>
    <col min="7172" max="7172" width="12.81640625" style="393" hidden="1" customWidth="1"/>
    <col min="7173" max="7178" width="12.08984375" style="393" hidden="1" customWidth="1"/>
    <col min="7179" max="7189" width="8.81640625" style="393" hidden="1" customWidth="1"/>
    <col min="7190" max="7424" width="8.81640625" style="393" hidden="1"/>
    <col min="7425" max="7425" width="32.6328125" style="393" hidden="1" customWidth="1"/>
    <col min="7426" max="7427" width="12.08984375" style="393" hidden="1" customWidth="1"/>
    <col min="7428" max="7428" width="12.81640625" style="393" hidden="1" customWidth="1"/>
    <col min="7429" max="7434" width="12.08984375" style="393" hidden="1" customWidth="1"/>
    <col min="7435" max="7445" width="8.81640625" style="393" hidden="1" customWidth="1"/>
    <col min="7446" max="7680" width="8.81640625" style="393" hidden="1"/>
    <col min="7681" max="7681" width="32.6328125" style="393" hidden="1" customWidth="1"/>
    <col min="7682" max="7683" width="12.08984375" style="393" hidden="1" customWidth="1"/>
    <col min="7684" max="7684" width="12.81640625" style="393" hidden="1" customWidth="1"/>
    <col min="7685" max="7690" width="12.08984375" style="393" hidden="1" customWidth="1"/>
    <col min="7691" max="7701" width="8.81640625" style="393" hidden="1" customWidth="1"/>
    <col min="7702" max="7936" width="8.81640625" style="393" hidden="1"/>
    <col min="7937" max="7937" width="32.6328125" style="393" hidden="1" customWidth="1"/>
    <col min="7938" max="7939" width="12.08984375" style="393" hidden="1" customWidth="1"/>
    <col min="7940" max="7940" width="12.81640625" style="393" hidden="1" customWidth="1"/>
    <col min="7941" max="7946" width="12.08984375" style="393" hidden="1" customWidth="1"/>
    <col min="7947" max="7957" width="8.81640625" style="393" hidden="1" customWidth="1"/>
    <col min="7958" max="8192" width="8.81640625" style="393" hidden="1"/>
    <col min="8193" max="8193" width="32.6328125" style="393" hidden="1" customWidth="1"/>
    <col min="8194" max="8195" width="12.08984375" style="393" hidden="1" customWidth="1"/>
    <col min="8196" max="8196" width="12.81640625" style="393" hidden="1" customWidth="1"/>
    <col min="8197" max="8202" width="12.08984375" style="393" hidden="1" customWidth="1"/>
    <col min="8203" max="8213" width="8.81640625" style="393" hidden="1" customWidth="1"/>
    <col min="8214" max="8448" width="8.81640625" style="393" hidden="1"/>
    <col min="8449" max="8449" width="32.6328125" style="393" hidden="1" customWidth="1"/>
    <col min="8450" max="8451" width="12.08984375" style="393" hidden="1" customWidth="1"/>
    <col min="8452" max="8452" width="12.81640625" style="393" hidden="1" customWidth="1"/>
    <col min="8453" max="8458" width="12.08984375" style="393" hidden="1" customWidth="1"/>
    <col min="8459" max="8469" width="8.81640625" style="393" hidden="1" customWidth="1"/>
    <col min="8470" max="8704" width="8.81640625" style="393" hidden="1"/>
    <col min="8705" max="8705" width="32.6328125" style="393" hidden="1" customWidth="1"/>
    <col min="8706" max="8707" width="12.08984375" style="393" hidden="1" customWidth="1"/>
    <col min="8708" max="8708" width="12.81640625" style="393" hidden="1" customWidth="1"/>
    <col min="8709" max="8714" width="12.08984375" style="393" hidden="1" customWidth="1"/>
    <col min="8715" max="8725" width="8.81640625" style="393" hidden="1" customWidth="1"/>
    <col min="8726" max="8960" width="8.81640625" style="393" hidden="1"/>
    <col min="8961" max="8961" width="32.6328125" style="393" hidden="1" customWidth="1"/>
    <col min="8962" max="8963" width="12.08984375" style="393" hidden="1" customWidth="1"/>
    <col min="8964" max="8964" width="12.81640625" style="393" hidden="1" customWidth="1"/>
    <col min="8965" max="8970" width="12.08984375" style="393" hidden="1" customWidth="1"/>
    <col min="8971" max="8981" width="8.81640625" style="393" hidden="1" customWidth="1"/>
    <col min="8982" max="9216" width="8.81640625" style="393" hidden="1"/>
    <col min="9217" max="9217" width="32.6328125" style="393" hidden="1" customWidth="1"/>
    <col min="9218" max="9219" width="12.08984375" style="393" hidden="1" customWidth="1"/>
    <col min="9220" max="9220" width="12.81640625" style="393" hidden="1" customWidth="1"/>
    <col min="9221" max="9226" width="12.08984375" style="393" hidden="1" customWidth="1"/>
    <col min="9227" max="9237" width="8.81640625" style="393" hidden="1" customWidth="1"/>
    <col min="9238" max="9472" width="8.81640625" style="393" hidden="1"/>
    <col min="9473" max="9473" width="32.6328125" style="393" hidden="1" customWidth="1"/>
    <col min="9474" max="9475" width="12.08984375" style="393" hidden="1" customWidth="1"/>
    <col min="9476" max="9476" width="12.81640625" style="393" hidden="1" customWidth="1"/>
    <col min="9477" max="9482" width="12.08984375" style="393" hidden="1" customWidth="1"/>
    <col min="9483" max="9493" width="8.81640625" style="393" hidden="1" customWidth="1"/>
    <col min="9494" max="9728" width="8.81640625" style="393" hidden="1"/>
    <col min="9729" max="9729" width="32.6328125" style="393" hidden="1" customWidth="1"/>
    <col min="9730" max="9731" width="12.08984375" style="393" hidden="1" customWidth="1"/>
    <col min="9732" max="9732" width="12.81640625" style="393" hidden="1" customWidth="1"/>
    <col min="9733" max="9738" width="12.08984375" style="393" hidden="1" customWidth="1"/>
    <col min="9739" max="9749" width="8.81640625" style="393" hidden="1" customWidth="1"/>
    <col min="9750" max="9984" width="8.81640625" style="393" hidden="1"/>
    <col min="9985" max="9985" width="32.6328125" style="393" hidden="1" customWidth="1"/>
    <col min="9986" max="9987" width="12.08984375" style="393" hidden="1" customWidth="1"/>
    <col min="9988" max="9988" width="12.81640625" style="393" hidden="1" customWidth="1"/>
    <col min="9989" max="9994" width="12.08984375" style="393" hidden="1" customWidth="1"/>
    <col min="9995" max="10005" width="8.81640625" style="393" hidden="1" customWidth="1"/>
    <col min="10006" max="10240" width="8.81640625" style="393" hidden="1"/>
    <col min="10241" max="10241" width="32.6328125" style="393" hidden="1" customWidth="1"/>
    <col min="10242" max="10243" width="12.08984375" style="393" hidden="1" customWidth="1"/>
    <col min="10244" max="10244" width="12.81640625" style="393" hidden="1" customWidth="1"/>
    <col min="10245" max="10250" width="12.08984375" style="393" hidden="1" customWidth="1"/>
    <col min="10251" max="10261" width="8.81640625" style="393" hidden="1" customWidth="1"/>
    <col min="10262" max="10496" width="8.81640625" style="393" hidden="1"/>
    <col min="10497" max="10497" width="32.6328125" style="393" hidden="1" customWidth="1"/>
    <col min="10498" max="10499" width="12.08984375" style="393" hidden="1" customWidth="1"/>
    <col min="10500" max="10500" width="12.81640625" style="393" hidden="1" customWidth="1"/>
    <col min="10501" max="10506" width="12.08984375" style="393" hidden="1" customWidth="1"/>
    <col min="10507" max="10517" width="8.81640625" style="393" hidden="1" customWidth="1"/>
    <col min="10518" max="10752" width="8.81640625" style="393" hidden="1"/>
    <col min="10753" max="10753" width="32.6328125" style="393" hidden="1" customWidth="1"/>
    <col min="10754" max="10755" width="12.08984375" style="393" hidden="1" customWidth="1"/>
    <col min="10756" max="10756" width="12.81640625" style="393" hidden="1" customWidth="1"/>
    <col min="10757" max="10762" width="12.08984375" style="393" hidden="1" customWidth="1"/>
    <col min="10763" max="10773" width="8.81640625" style="393" hidden="1" customWidth="1"/>
    <col min="10774" max="11008" width="8.81640625" style="393" hidden="1"/>
    <col min="11009" max="11009" width="32.6328125" style="393" hidden="1" customWidth="1"/>
    <col min="11010" max="11011" width="12.08984375" style="393" hidden="1" customWidth="1"/>
    <col min="11012" max="11012" width="12.81640625" style="393" hidden="1" customWidth="1"/>
    <col min="11013" max="11018" width="12.08984375" style="393" hidden="1" customWidth="1"/>
    <col min="11019" max="11029" width="8.81640625" style="393" hidden="1" customWidth="1"/>
    <col min="11030" max="11264" width="8.81640625" style="393" hidden="1"/>
    <col min="11265" max="11265" width="32.6328125" style="393" hidden="1" customWidth="1"/>
    <col min="11266" max="11267" width="12.08984375" style="393" hidden="1" customWidth="1"/>
    <col min="11268" max="11268" width="12.81640625" style="393" hidden="1" customWidth="1"/>
    <col min="11269" max="11274" width="12.08984375" style="393" hidden="1" customWidth="1"/>
    <col min="11275" max="11285" width="8.81640625" style="393" hidden="1" customWidth="1"/>
    <col min="11286" max="11520" width="8.81640625" style="393" hidden="1"/>
    <col min="11521" max="11521" width="32.6328125" style="393" hidden="1" customWidth="1"/>
    <col min="11522" max="11523" width="12.08984375" style="393" hidden="1" customWidth="1"/>
    <col min="11524" max="11524" width="12.81640625" style="393" hidden="1" customWidth="1"/>
    <col min="11525" max="11530" width="12.08984375" style="393" hidden="1" customWidth="1"/>
    <col min="11531" max="11541" width="8.81640625" style="393" hidden="1" customWidth="1"/>
    <col min="11542" max="11776" width="8.81640625" style="393" hidden="1"/>
    <col min="11777" max="11777" width="32.6328125" style="393" hidden="1" customWidth="1"/>
    <col min="11778" max="11779" width="12.08984375" style="393" hidden="1" customWidth="1"/>
    <col min="11780" max="11780" width="12.81640625" style="393" hidden="1" customWidth="1"/>
    <col min="11781" max="11786" width="12.08984375" style="393" hidden="1" customWidth="1"/>
    <col min="11787" max="11797" width="8.81640625" style="393" hidden="1" customWidth="1"/>
    <col min="11798" max="12032" width="8.81640625" style="393" hidden="1"/>
    <col min="12033" max="12033" width="32.6328125" style="393" hidden="1" customWidth="1"/>
    <col min="12034" max="12035" width="12.08984375" style="393" hidden="1" customWidth="1"/>
    <col min="12036" max="12036" width="12.81640625" style="393" hidden="1" customWidth="1"/>
    <col min="12037" max="12042" width="12.08984375" style="393" hidden="1" customWidth="1"/>
    <col min="12043" max="12053" width="8.81640625" style="393" hidden="1" customWidth="1"/>
    <col min="12054" max="12288" width="8.81640625" style="393" hidden="1"/>
    <col min="12289" max="12289" width="32.6328125" style="393" hidden="1" customWidth="1"/>
    <col min="12290" max="12291" width="12.08984375" style="393" hidden="1" customWidth="1"/>
    <col min="12292" max="12292" width="12.81640625" style="393" hidden="1" customWidth="1"/>
    <col min="12293" max="12298" width="12.08984375" style="393" hidden="1" customWidth="1"/>
    <col min="12299" max="12309" width="8.81640625" style="393" hidden="1" customWidth="1"/>
    <col min="12310" max="12544" width="8.81640625" style="393" hidden="1"/>
    <col min="12545" max="12545" width="32.6328125" style="393" hidden="1" customWidth="1"/>
    <col min="12546" max="12547" width="12.08984375" style="393" hidden="1" customWidth="1"/>
    <col min="12548" max="12548" width="12.81640625" style="393" hidden="1" customWidth="1"/>
    <col min="12549" max="12554" width="12.08984375" style="393" hidden="1" customWidth="1"/>
    <col min="12555" max="12565" width="8.81640625" style="393" hidden="1" customWidth="1"/>
    <col min="12566" max="12800" width="8.81640625" style="393" hidden="1"/>
    <col min="12801" max="12801" width="32.6328125" style="393" hidden="1" customWidth="1"/>
    <col min="12802" max="12803" width="12.08984375" style="393" hidden="1" customWidth="1"/>
    <col min="12804" max="12804" width="12.81640625" style="393" hidden="1" customWidth="1"/>
    <col min="12805" max="12810" width="12.08984375" style="393" hidden="1" customWidth="1"/>
    <col min="12811" max="12821" width="8.81640625" style="393" hidden="1" customWidth="1"/>
    <col min="12822" max="13056" width="8.81640625" style="393" hidden="1"/>
    <col min="13057" max="13057" width="32.6328125" style="393" hidden="1" customWidth="1"/>
    <col min="13058" max="13059" width="12.08984375" style="393" hidden="1" customWidth="1"/>
    <col min="13060" max="13060" width="12.81640625" style="393" hidden="1" customWidth="1"/>
    <col min="13061" max="13066" width="12.08984375" style="393" hidden="1" customWidth="1"/>
    <col min="13067" max="13077" width="8.81640625" style="393" hidden="1" customWidth="1"/>
    <col min="13078" max="13312" width="8.81640625" style="393" hidden="1"/>
    <col min="13313" max="13313" width="32.6328125" style="393" hidden="1" customWidth="1"/>
    <col min="13314" max="13315" width="12.08984375" style="393" hidden="1" customWidth="1"/>
    <col min="13316" max="13316" width="12.81640625" style="393" hidden="1" customWidth="1"/>
    <col min="13317" max="13322" width="12.08984375" style="393" hidden="1" customWidth="1"/>
    <col min="13323" max="13333" width="8.81640625" style="393" hidden="1" customWidth="1"/>
    <col min="13334" max="13568" width="8.81640625" style="393" hidden="1"/>
    <col min="13569" max="13569" width="32.6328125" style="393" hidden="1" customWidth="1"/>
    <col min="13570" max="13571" width="12.08984375" style="393" hidden="1" customWidth="1"/>
    <col min="13572" max="13572" width="12.81640625" style="393" hidden="1" customWidth="1"/>
    <col min="13573" max="13578" width="12.08984375" style="393" hidden="1" customWidth="1"/>
    <col min="13579" max="13589" width="8.81640625" style="393" hidden="1" customWidth="1"/>
    <col min="13590" max="13824" width="8.81640625" style="393" hidden="1"/>
    <col min="13825" max="13825" width="32.6328125" style="393" hidden="1" customWidth="1"/>
    <col min="13826" max="13827" width="12.08984375" style="393" hidden="1" customWidth="1"/>
    <col min="13828" max="13828" width="12.81640625" style="393" hidden="1" customWidth="1"/>
    <col min="13829" max="13834" width="12.08984375" style="393" hidden="1" customWidth="1"/>
    <col min="13835" max="13845" width="8.81640625" style="393" hidden="1" customWidth="1"/>
    <col min="13846" max="14080" width="8.81640625" style="393" hidden="1"/>
    <col min="14081" max="14081" width="32.6328125" style="393" hidden="1" customWidth="1"/>
    <col min="14082" max="14083" width="12.08984375" style="393" hidden="1" customWidth="1"/>
    <col min="14084" max="14084" width="12.81640625" style="393" hidden="1" customWidth="1"/>
    <col min="14085" max="14090" width="12.08984375" style="393" hidden="1" customWidth="1"/>
    <col min="14091" max="14101" width="8.81640625" style="393" hidden="1" customWidth="1"/>
    <col min="14102" max="14336" width="8.81640625" style="393" hidden="1"/>
    <col min="14337" max="14337" width="32.6328125" style="393" hidden="1" customWidth="1"/>
    <col min="14338" max="14339" width="12.08984375" style="393" hidden="1" customWidth="1"/>
    <col min="14340" max="14340" width="12.81640625" style="393" hidden="1" customWidth="1"/>
    <col min="14341" max="14346" width="12.08984375" style="393" hidden="1" customWidth="1"/>
    <col min="14347" max="14357" width="8.81640625" style="393" hidden="1" customWidth="1"/>
    <col min="14358" max="14592" width="8.81640625" style="393" hidden="1"/>
    <col min="14593" max="14593" width="32.6328125" style="393" hidden="1" customWidth="1"/>
    <col min="14594" max="14595" width="12.08984375" style="393" hidden="1" customWidth="1"/>
    <col min="14596" max="14596" width="12.81640625" style="393" hidden="1" customWidth="1"/>
    <col min="14597" max="14602" width="12.08984375" style="393" hidden="1" customWidth="1"/>
    <col min="14603" max="14613" width="8.81640625" style="393" hidden="1" customWidth="1"/>
    <col min="14614" max="14848" width="8.81640625" style="393" hidden="1"/>
    <col min="14849" max="14849" width="32.6328125" style="393" hidden="1" customWidth="1"/>
    <col min="14850" max="14851" width="12.08984375" style="393" hidden="1" customWidth="1"/>
    <col min="14852" max="14852" width="12.81640625" style="393" hidden="1" customWidth="1"/>
    <col min="14853" max="14858" width="12.08984375" style="393" hidden="1" customWidth="1"/>
    <col min="14859" max="14869" width="8.81640625" style="393" hidden="1" customWidth="1"/>
    <col min="14870" max="15104" width="8.81640625" style="393" hidden="1"/>
    <col min="15105" max="15105" width="32.6328125" style="393" hidden="1" customWidth="1"/>
    <col min="15106" max="15107" width="12.08984375" style="393" hidden="1" customWidth="1"/>
    <col min="15108" max="15108" width="12.81640625" style="393" hidden="1" customWidth="1"/>
    <col min="15109" max="15114" width="12.08984375" style="393" hidden="1" customWidth="1"/>
    <col min="15115" max="15125" width="8.81640625" style="393" hidden="1" customWidth="1"/>
    <col min="15126" max="15360" width="8.81640625" style="393" hidden="1"/>
    <col min="15361" max="15361" width="32.6328125" style="393" hidden="1" customWidth="1"/>
    <col min="15362" max="15363" width="12.08984375" style="393" hidden="1" customWidth="1"/>
    <col min="15364" max="15364" width="12.81640625" style="393" hidden="1" customWidth="1"/>
    <col min="15365" max="15370" width="12.08984375" style="393" hidden="1" customWidth="1"/>
    <col min="15371" max="15381" width="8.81640625" style="393" hidden="1" customWidth="1"/>
    <col min="15382" max="15616" width="8.81640625" style="393" hidden="1"/>
    <col min="15617" max="15617" width="32.6328125" style="393" hidden="1" customWidth="1"/>
    <col min="15618" max="15619" width="12.08984375" style="393" hidden="1" customWidth="1"/>
    <col min="15620" max="15620" width="12.81640625" style="393" hidden="1" customWidth="1"/>
    <col min="15621" max="15626" width="12.08984375" style="393" hidden="1" customWidth="1"/>
    <col min="15627" max="15637" width="8.81640625" style="393" hidden="1" customWidth="1"/>
    <col min="15638" max="15872" width="8.81640625" style="393" hidden="1"/>
    <col min="15873" max="15873" width="32.6328125" style="393" hidden="1" customWidth="1"/>
    <col min="15874" max="15875" width="12.08984375" style="393" hidden="1" customWidth="1"/>
    <col min="15876" max="15876" width="12.81640625" style="393" hidden="1" customWidth="1"/>
    <col min="15877" max="15882" width="12.08984375" style="393" hidden="1" customWidth="1"/>
    <col min="15883" max="15893" width="8.81640625" style="393" hidden="1" customWidth="1"/>
    <col min="15894" max="16128" width="8.81640625" style="393" hidden="1"/>
    <col min="16129" max="16129" width="32.6328125" style="393" hidden="1" customWidth="1"/>
    <col min="16130" max="16131" width="12.08984375" style="393" hidden="1" customWidth="1"/>
    <col min="16132" max="16132" width="12.81640625" style="393" hidden="1" customWidth="1"/>
    <col min="16133" max="16138" width="12.08984375" style="393" hidden="1" customWidth="1"/>
    <col min="16139" max="16149" width="8.81640625" style="393" hidden="1" customWidth="1"/>
    <col min="16150" max="16384" width="8.81640625" style="393" hidden="1"/>
  </cols>
  <sheetData>
    <row r="1" spans="1:11" s="356" customFormat="1" ht="13">
      <c r="A1" s="1876" t="s">
        <v>1226</v>
      </c>
      <c r="B1" s="1877"/>
      <c r="C1" s="1877"/>
      <c r="D1" s="1877"/>
      <c r="E1" s="1877"/>
      <c r="F1" s="1877"/>
      <c r="G1" s="1877"/>
      <c r="H1" s="1877"/>
      <c r="I1" s="1877"/>
      <c r="J1" s="1878"/>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100000</v>
      </c>
      <c r="C5" s="362">
        <f>B5</f>
        <v>100000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100000</v>
      </c>
      <c r="C8" s="361">
        <f>SUM(C4:C7)</f>
        <v>100000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600000</v>
      </c>
      <c r="C12" s="361">
        <f>SUM(C8+C11)</f>
        <v>600000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c r="A30" s="145" t="s">
        <v>599</v>
      </c>
      <c r="B30" s="361">
        <f>'Sources and Uses Budget'!C30</f>
        <v>28077037</v>
      </c>
      <c r="C30" s="362">
        <f t="shared" ref="C30:C35" si="0">B30</f>
        <v>28077037</v>
      </c>
      <c r="D30" s="362"/>
      <c r="E30" s="361">
        <f>'Sources and Uses Budget'!S30</f>
        <v>28077037</v>
      </c>
      <c r="F30" s="362">
        <f t="shared" ref="F30:F33" si="1">E30</f>
        <v>28077037</v>
      </c>
      <c r="G30" s="362"/>
      <c r="H30" s="361">
        <f>'Sources and Uses Budget'!T30</f>
        <v>0</v>
      </c>
      <c r="I30" s="362"/>
      <c r="J30" s="362"/>
      <c r="K30" s="359"/>
    </row>
    <row r="31" spans="1:11" s="360" customFormat="1">
      <c r="A31" s="145" t="s">
        <v>600</v>
      </c>
      <c r="B31" s="361">
        <f>'Sources and Uses Budget'!C31</f>
        <v>1774622</v>
      </c>
      <c r="C31" s="362">
        <f t="shared" si="0"/>
        <v>1774622</v>
      </c>
      <c r="D31" s="362"/>
      <c r="E31" s="361">
        <f>'Sources and Uses Budget'!S31</f>
        <v>1774622</v>
      </c>
      <c r="F31" s="362">
        <f t="shared" si="1"/>
        <v>1774622</v>
      </c>
      <c r="G31" s="362"/>
      <c r="H31" s="361">
        <f>'Sources and Uses Budget'!T31</f>
        <v>0</v>
      </c>
      <c r="I31" s="362"/>
      <c r="J31" s="362"/>
      <c r="K31" s="359"/>
    </row>
    <row r="32" spans="1:11" s="360" customFormat="1">
      <c r="A32" s="145" t="s">
        <v>137</v>
      </c>
      <c r="B32" s="361">
        <f>'Sources and Uses Budget'!C32</f>
        <v>1183081</v>
      </c>
      <c r="C32" s="362">
        <f t="shared" si="0"/>
        <v>1183081</v>
      </c>
      <c r="D32" s="362"/>
      <c r="E32" s="361">
        <f>'Sources and Uses Budget'!S32</f>
        <v>1183081</v>
      </c>
      <c r="F32" s="362">
        <f t="shared" si="1"/>
        <v>1183081</v>
      </c>
      <c r="G32" s="362"/>
      <c r="H32" s="361">
        <f>'Sources and Uses Budget'!T32</f>
        <v>0</v>
      </c>
      <c r="I32" s="362"/>
      <c r="J32" s="362"/>
      <c r="K32" s="359"/>
    </row>
    <row r="33" spans="1:11" s="360" customFormat="1">
      <c r="A33" s="145" t="s">
        <v>138</v>
      </c>
      <c r="B33" s="361">
        <f>'Sources and Uses Budget'!C33</f>
        <v>1183081</v>
      </c>
      <c r="C33" s="362">
        <f t="shared" si="0"/>
        <v>1183081</v>
      </c>
      <c r="D33" s="362"/>
      <c r="E33" s="361">
        <f>'Sources and Uses Budget'!S33</f>
        <v>1183081</v>
      </c>
      <c r="F33" s="362">
        <f t="shared" si="1"/>
        <v>1183081</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337178</v>
      </c>
      <c r="C35" s="362">
        <f t="shared" si="0"/>
        <v>337178</v>
      </c>
      <c r="D35" s="362"/>
      <c r="E35" s="361">
        <f>'Sources and Uses Budget'!S35</f>
        <v>337178</v>
      </c>
      <c r="F35" s="362">
        <f>E35</f>
        <v>337178</v>
      </c>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33554999</v>
      </c>
      <c r="C38" s="361">
        <f>SUM(C29:C37)</f>
        <v>33554999</v>
      </c>
      <c r="D38" s="361">
        <f>SUM(D29:D37)</f>
        <v>0</v>
      </c>
      <c r="E38" s="361">
        <f>'Sources and Uses Budget'!S38</f>
        <v>33554999</v>
      </c>
      <c r="F38" s="367">
        <f>SUM(F29:F37)</f>
        <v>33554999</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1360000</v>
      </c>
      <c r="C40" s="362">
        <f>B40</f>
        <v>1360000</v>
      </c>
      <c r="D40" s="362"/>
      <c r="E40" s="361">
        <f>'Sources and Uses Budget'!S40</f>
        <v>1360000</v>
      </c>
      <c r="F40" s="362">
        <f>E40</f>
        <v>1360000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1360000</v>
      </c>
      <c r="C42" s="361">
        <f>SUM(C39:C41)</f>
        <v>1360000</v>
      </c>
      <c r="D42" s="361">
        <f>SUM(D39:D41)</f>
        <v>0</v>
      </c>
      <c r="E42" s="361">
        <f>'Sources and Uses Budget'!S42</f>
        <v>1360000</v>
      </c>
      <c r="F42" s="367">
        <f>SUM(F40:F41)</f>
        <v>1360000</v>
      </c>
      <c r="G42" s="367">
        <f>SUM(G40:G41)</f>
        <v>0</v>
      </c>
      <c r="H42" s="361">
        <f>'Sources and Uses Budget'!T42</f>
        <v>0</v>
      </c>
      <c r="I42" s="367">
        <f>SUM(I40:I41)</f>
        <v>0</v>
      </c>
      <c r="J42" s="367">
        <f>SUM(J40:J41)</f>
        <v>0</v>
      </c>
      <c r="K42" s="359"/>
    </row>
    <row r="43" spans="1:11" s="360" customFormat="1">
      <c r="A43" s="365" t="s">
        <v>148</v>
      </c>
      <c r="B43" s="361">
        <f>'Sources and Uses Budget'!C43</f>
        <v>650000</v>
      </c>
      <c r="C43" s="362">
        <f>B43</f>
        <v>650000</v>
      </c>
      <c r="D43" s="362"/>
      <c r="E43" s="361">
        <f>'Sources and Uses Budget'!S43</f>
        <v>650000</v>
      </c>
      <c r="F43" s="362">
        <f>E43</f>
        <v>650000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4566776</v>
      </c>
      <c r="C45" s="362">
        <f>B45</f>
        <v>4566776</v>
      </c>
      <c r="D45" s="362"/>
      <c r="E45" s="361">
        <f>'Sources and Uses Budget'!S45</f>
        <v>2361231</v>
      </c>
      <c r="F45" s="362">
        <f>E45</f>
        <v>2361231</v>
      </c>
      <c r="G45" s="362"/>
      <c r="H45" s="361">
        <f>'Sources and Uses Budget'!T45</f>
        <v>0</v>
      </c>
      <c r="I45" s="362"/>
      <c r="J45" s="362"/>
      <c r="K45" s="359"/>
    </row>
    <row r="46" spans="1:11" s="360" customFormat="1">
      <c r="A46" s="364" t="s">
        <v>151</v>
      </c>
      <c r="B46" s="361">
        <f>'Sources and Uses Budget'!C46</f>
        <v>261619</v>
      </c>
      <c r="C46" s="362">
        <f t="shared" ref="C46:C53" si="2">B46</f>
        <v>261619</v>
      </c>
      <c r="D46" s="362"/>
      <c r="E46" s="361">
        <f>'Sources and Uses Budget'!S46</f>
        <v>196214</v>
      </c>
      <c r="F46" s="362">
        <f t="shared" ref="F46:F53" si="3">E46</f>
        <v>196214</v>
      </c>
      <c r="G46" s="362"/>
      <c r="H46" s="361">
        <f>'Sources and Uses Budget'!T46</f>
        <v>0</v>
      </c>
      <c r="I46" s="362"/>
      <c r="J46" s="362"/>
      <c r="K46" s="359"/>
    </row>
    <row r="47" spans="1:11" s="360" customFormat="1" ht="12" customHeight="1">
      <c r="A47" s="364" t="s">
        <v>152</v>
      </c>
      <c r="B47" s="361">
        <f>'Sources and Uses Budget'!C47</f>
        <v>15000</v>
      </c>
      <c r="C47" s="362">
        <f t="shared" si="2"/>
        <v>15000</v>
      </c>
      <c r="D47" s="362"/>
      <c r="E47" s="361">
        <f>'Sources and Uses Budget'!S47</f>
        <v>11250</v>
      </c>
      <c r="F47" s="362">
        <f t="shared" si="3"/>
        <v>11250</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65405</v>
      </c>
      <c r="C49" s="362">
        <f t="shared" si="2"/>
        <v>65405</v>
      </c>
      <c r="D49" s="362"/>
      <c r="E49" s="361">
        <f>'Sources and Uses Budget'!S49</f>
        <v>65405</v>
      </c>
      <c r="F49" s="362">
        <f t="shared" si="3"/>
        <v>65405</v>
      </c>
      <c r="G49" s="362"/>
      <c r="H49" s="361">
        <f>'Sources and Uses Budget'!T49</f>
        <v>0</v>
      </c>
      <c r="I49" s="362"/>
      <c r="J49" s="362"/>
      <c r="K49" s="359"/>
    </row>
    <row r="50" spans="1:11" s="360" customFormat="1">
      <c r="A50" s="364" t="s">
        <v>156</v>
      </c>
      <c r="B50" s="361">
        <f>'Sources and Uses Budget'!C50</f>
        <v>100000</v>
      </c>
      <c r="C50" s="362">
        <f t="shared" si="2"/>
        <v>100000</v>
      </c>
      <c r="D50" s="362"/>
      <c r="E50" s="361">
        <f>'Sources and Uses Budget'!S50</f>
        <v>75000</v>
      </c>
      <c r="F50" s="362">
        <f t="shared" si="3"/>
        <v>75000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341000</v>
      </c>
      <c r="C52" s="362">
        <f t="shared" si="2"/>
        <v>341000</v>
      </c>
      <c r="D52" s="362"/>
      <c r="E52" s="361">
        <f>'Sources and Uses Budget'!S52</f>
        <v>341000</v>
      </c>
      <c r="F52" s="362">
        <f t="shared" si="3"/>
        <v>341000</v>
      </c>
      <c r="G52" s="362"/>
      <c r="H52" s="361">
        <f>'Sources and Uses Budget'!T52</f>
        <v>0</v>
      </c>
      <c r="I52" s="362"/>
      <c r="J52" s="362"/>
      <c r="K52" s="359"/>
    </row>
    <row r="53" spans="1:11" s="360" customFormat="1">
      <c r="A53" s="364" t="str">
        <f>'Sources and Uses Budget'!$A53</f>
        <v>Other: (Employee Reporting)</v>
      </c>
      <c r="B53" s="361">
        <f>'Sources and Uses Budget'!C53</f>
        <v>25000</v>
      </c>
      <c r="C53" s="362">
        <f t="shared" si="2"/>
        <v>25000</v>
      </c>
      <c r="D53" s="362"/>
      <c r="E53" s="361">
        <f>'Sources and Uses Budget'!S53</f>
        <v>25000</v>
      </c>
      <c r="F53" s="362">
        <f t="shared" si="3"/>
        <v>25000</v>
      </c>
      <c r="G53" s="362"/>
      <c r="H53" s="361">
        <f>'Sources and Uses Budget'!T53</f>
        <v>0</v>
      </c>
      <c r="I53" s="362"/>
      <c r="J53" s="362"/>
      <c r="K53" s="359"/>
    </row>
    <row r="54" spans="1:11" s="369" customFormat="1">
      <c r="A54" s="365" t="s">
        <v>157</v>
      </c>
      <c r="B54" s="361">
        <f>'Sources and Uses Budget'!C54</f>
        <v>5374800</v>
      </c>
      <c r="C54" s="367">
        <f>SUM(C45:C53)</f>
        <v>5374800</v>
      </c>
      <c r="D54" s="367">
        <f>SUM(D45:D53)</f>
        <v>0</v>
      </c>
      <c r="E54" s="361">
        <f>'Sources and Uses Budget'!S54</f>
        <v>3075100</v>
      </c>
      <c r="F54" s="367">
        <f>SUM(F45:F53)</f>
        <v>3075100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(Legal For Perm Loan)</v>
      </c>
      <c r="B61" s="361">
        <f>'Sources and Uses Budget'!C61</f>
        <v>15000</v>
      </c>
      <c r="C61" s="362">
        <f>B61</f>
        <v>15000</v>
      </c>
      <c r="D61" s="362"/>
      <c r="E61" s="363"/>
      <c r="F61" s="363"/>
      <c r="G61" s="363"/>
      <c r="H61" s="363"/>
      <c r="I61" s="363"/>
      <c r="J61" s="363"/>
      <c r="K61" s="359"/>
    </row>
    <row r="62" spans="1:11" s="360" customFormat="1" ht="13.75"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41564799</v>
      </c>
      <c r="C63" s="361">
        <f>SUM(C8+C11+C13+C14+C15+C26+C27+C38+C42+C43+C54+C62)</f>
        <v>41564799</v>
      </c>
      <c r="D63" s="361">
        <f>SUM(D8+D11+D13+D14+D15+D26+D27+D38+D42+D43+D54+D62)</f>
        <v>0</v>
      </c>
      <c r="E63" s="361">
        <f>'Sources and Uses Budget'!S63</f>
        <v>39140099</v>
      </c>
      <c r="F63" s="361">
        <f>SUM(F10+F13+F14+F15+F26+F27+F38+F42+F43+F54)</f>
        <v>39140099</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ht="23">
      <c r="A69" s="364" t="str">
        <f>'Sources and Uses Budget'!$A69</f>
        <v>Other: (Lender, Bond Issuer, and Partnership Legal)</v>
      </c>
      <c r="B69" s="361">
        <f>'Sources and Uses Budget'!C69</f>
        <v>225000</v>
      </c>
      <c r="C69" s="362">
        <f>B69</f>
        <v>225000</v>
      </c>
      <c r="D69" s="362"/>
      <c r="E69" s="361">
        <f>'Sources and Uses Budget'!S69</f>
        <v>75000</v>
      </c>
      <c r="F69" s="362">
        <f>E69</f>
        <v>75000</v>
      </c>
      <c r="G69" s="362"/>
      <c r="H69" s="361">
        <f>'Sources and Uses Budget'!T69</f>
        <v>0</v>
      </c>
      <c r="I69" s="362"/>
      <c r="J69" s="362"/>
      <c r="K69" s="359"/>
    </row>
    <row r="70" spans="1:11" s="360" customFormat="1">
      <c r="A70" s="365" t="s">
        <v>601</v>
      </c>
      <c r="B70" s="361">
        <f>'Sources and Uses Budget'!C70</f>
        <v>325000</v>
      </c>
      <c r="C70" s="361">
        <f>SUM(C64:C69)</f>
        <v>325000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1063963</v>
      </c>
      <c r="C75" s="362">
        <f>B75</f>
        <v>1063963</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1063963</v>
      </c>
      <c r="C77" s="361">
        <f>SUM(C72:C76)</f>
        <v>1063963</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1707750</v>
      </c>
      <c r="C79" s="362">
        <f>B79</f>
        <v>1707750</v>
      </c>
      <c r="D79" s="362"/>
      <c r="E79" s="361">
        <f>'Sources and Uses Budget'!S79</f>
        <v>1707750</v>
      </c>
      <c r="F79" s="362">
        <f>E79</f>
        <v>1707750</v>
      </c>
      <c r="G79" s="362"/>
      <c r="H79" s="361">
        <f>'Sources and Uses Budget'!T79</f>
        <v>0</v>
      </c>
      <c r="I79" s="362"/>
      <c r="J79" s="362"/>
      <c r="K79" s="359"/>
    </row>
    <row r="80" spans="1:11" s="360" customFormat="1">
      <c r="A80" s="364" t="s">
        <v>58</v>
      </c>
      <c r="B80" s="361">
        <f>'Sources and Uses Budget'!C80</f>
        <v>476774</v>
      </c>
      <c r="C80" s="362">
        <f>B80</f>
        <v>476774</v>
      </c>
      <c r="D80" s="362"/>
      <c r="E80" s="361">
        <f>'Sources and Uses Budget'!S80</f>
        <v>476774</v>
      </c>
      <c r="F80" s="362">
        <f>E80</f>
        <v>476774</v>
      </c>
      <c r="G80" s="362"/>
      <c r="H80" s="361">
        <f>'Sources and Uses Budget'!T80</f>
        <v>0</v>
      </c>
      <c r="I80" s="362"/>
      <c r="J80" s="362"/>
      <c r="K80" s="359"/>
    </row>
    <row r="81" spans="1:11" s="360" customFormat="1">
      <c r="A81" s="365" t="s">
        <v>1208</v>
      </c>
      <c r="B81" s="361">
        <f>'Sources and Uses Budget'!C81</f>
        <v>2184524</v>
      </c>
      <c r="C81" s="361">
        <f>SUM(C79:C80)</f>
        <v>2184524</v>
      </c>
      <c r="D81" s="361">
        <f>SUM(D79:D80)</f>
        <v>0</v>
      </c>
      <c r="E81" s="361">
        <f>'Sources and Uses Budget'!S81</f>
        <v>2184524</v>
      </c>
      <c r="F81" s="361">
        <f>SUM(F79:F80)</f>
        <v>2184524</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2093</v>
      </c>
      <c r="B83" s="361">
        <f>'Sources and Uses Budget'!C83</f>
        <v>97036</v>
      </c>
      <c r="C83" s="362">
        <f>B83</f>
        <v>97036</v>
      </c>
      <c r="D83" s="362"/>
      <c r="E83" s="363"/>
      <c r="F83" s="363"/>
      <c r="G83" s="363"/>
      <c r="H83" s="363"/>
      <c r="I83" s="363"/>
      <c r="J83" s="363"/>
      <c r="K83" s="359"/>
    </row>
    <row r="84" spans="1:11" s="360" customFormat="1">
      <c r="A84" s="145" t="s">
        <v>767</v>
      </c>
      <c r="B84" s="361">
        <f>'Sources and Uses Budget'!C84</f>
        <v>50000</v>
      </c>
      <c r="C84" s="362">
        <f t="shared" ref="C84:C86" si="4">B84</f>
        <v>50000</v>
      </c>
      <c r="D84" s="362"/>
      <c r="E84" s="361">
        <f>'Sources and Uses Budget'!S84</f>
        <v>50000</v>
      </c>
      <c r="F84" s="362">
        <f>E84</f>
        <v>50000</v>
      </c>
      <c r="G84" s="362"/>
      <c r="H84" s="361">
        <f>'Sources and Uses Budget'!T84</f>
        <v>0</v>
      </c>
      <c r="I84" s="362"/>
      <c r="J84" s="362"/>
      <c r="K84" s="359"/>
    </row>
    <row r="85" spans="1:11" s="360" customFormat="1">
      <c r="A85" s="145" t="s">
        <v>768</v>
      </c>
      <c r="B85" s="361">
        <f>'Sources and Uses Budget'!C85</f>
        <v>1497109</v>
      </c>
      <c r="C85" s="362">
        <f t="shared" si="4"/>
        <v>1497109</v>
      </c>
      <c r="D85" s="362"/>
      <c r="E85" s="361">
        <f>'Sources and Uses Budget'!S85</f>
        <v>1497109</v>
      </c>
      <c r="F85" s="362">
        <f t="shared" ref="F85:F86" si="5">E85</f>
        <v>1497109</v>
      </c>
      <c r="G85" s="362"/>
      <c r="H85" s="361">
        <f>'Sources and Uses Budget'!T85</f>
        <v>0</v>
      </c>
      <c r="I85" s="362"/>
      <c r="J85" s="362"/>
      <c r="K85" s="359"/>
    </row>
    <row r="86" spans="1:11" s="360" customFormat="1">
      <c r="A86" s="145" t="s">
        <v>769</v>
      </c>
      <c r="B86" s="361">
        <f>'Sources and Uses Budget'!C86</f>
        <v>1442891</v>
      </c>
      <c r="C86" s="362">
        <f t="shared" si="4"/>
        <v>1442891</v>
      </c>
      <c r="D86" s="362"/>
      <c r="E86" s="361">
        <f>'Sources and Uses Budget'!S86</f>
        <v>1442891</v>
      </c>
      <c r="F86" s="362">
        <f t="shared" si="5"/>
        <v>1442891</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f>B88</f>
        <v>50000</v>
      </c>
      <c r="D88" s="362"/>
      <c r="E88" s="363"/>
      <c r="F88" s="363"/>
      <c r="G88" s="363"/>
      <c r="H88" s="363"/>
      <c r="I88" s="363"/>
      <c r="J88" s="363"/>
      <c r="K88" s="359"/>
    </row>
    <row r="89" spans="1:11" s="360" customFormat="1">
      <c r="A89" s="145" t="s">
        <v>772</v>
      </c>
      <c r="B89" s="361">
        <f>'Sources and Uses Budget'!C89</f>
        <v>50000</v>
      </c>
      <c r="C89" s="362">
        <f t="shared" ref="C89:C95" si="6">B89</f>
        <v>50000</v>
      </c>
      <c r="D89" s="362"/>
      <c r="E89" s="361">
        <f>'Sources and Uses Budget'!S89</f>
        <v>50000</v>
      </c>
      <c r="F89" s="362">
        <f>E89</f>
        <v>50000</v>
      </c>
      <c r="G89" s="362"/>
      <c r="H89" s="361">
        <f>'Sources and Uses Budget'!T89</f>
        <v>0</v>
      </c>
      <c r="I89" s="362"/>
      <c r="J89" s="362"/>
      <c r="K89" s="359"/>
    </row>
    <row r="90" spans="1:11" s="360" customFormat="1">
      <c r="A90" s="145" t="s">
        <v>773</v>
      </c>
      <c r="B90" s="361">
        <f>'Sources and Uses Budget'!C90</f>
        <v>15000</v>
      </c>
      <c r="C90" s="362">
        <f t="shared" si="6"/>
        <v>15000</v>
      </c>
      <c r="D90" s="362"/>
      <c r="E90" s="361">
        <f>'Sources and Uses Budget'!S90</f>
        <v>15000</v>
      </c>
      <c r="F90" s="362">
        <f t="shared" ref="F90:F95" si="7">E90</f>
        <v>15000</v>
      </c>
      <c r="G90" s="362"/>
      <c r="H90" s="361">
        <f>'Sources and Uses Budget'!T90</f>
        <v>0</v>
      </c>
      <c r="I90" s="362"/>
      <c r="J90" s="362"/>
      <c r="K90" s="359"/>
    </row>
    <row r="91" spans="1:11" s="360" customFormat="1">
      <c r="A91" s="155" t="s">
        <v>372</v>
      </c>
      <c r="B91" s="361">
        <f>'Sources and Uses Budget'!C91</f>
        <v>50000</v>
      </c>
      <c r="C91" s="362">
        <f t="shared" si="6"/>
        <v>50000</v>
      </c>
      <c r="D91" s="362"/>
      <c r="E91" s="361">
        <f>'Sources and Uses Budget'!S91</f>
        <v>50000</v>
      </c>
      <c r="F91" s="362">
        <f t="shared" si="7"/>
        <v>50000</v>
      </c>
      <c r="G91" s="362"/>
      <c r="H91" s="361">
        <f>'Sources and Uses Budget'!T91</f>
        <v>0</v>
      </c>
      <c r="I91" s="362"/>
      <c r="J91" s="362"/>
      <c r="K91" s="359"/>
    </row>
    <row r="92" spans="1:11" s="360" customFormat="1">
      <c r="A92" s="508" t="s">
        <v>1210</v>
      </c>
      <c r="B92" s="361">
        <f>'Sources and Uses Budget'!C92</f>
        <v>20000</v>
      </c>
      <c r="C92" s="362">
        <f t="shared" si="6"/>
        <v>20000</v>
      </c>
      <c r="D92" s="362"/>
      <c r="E92" s="361">
        <f>'Sources and Uses Budget'!S92</f>
        <v>20000</v>
      </c>
      <c r="F92" s="362">
        <f t="shared" si="7"/>
        <v>20000</v>
      </c>
      <c r="G92" s="362"/>
      <c r="H92" s="361">
        <f>'Sources and Uses Budget'!T92</f>
        <v>0</v>
      </c>
      <c r="I92" s="362"/>
      <c r="J92" s="362"/>
      <c r="K92" s="359"/>
    </row>
    <row r="93" spans="1:11" s="360" customFormat="1">
      <c r="A93" s="364" t="str">
        <f>'Sources and Uses Budget'!$A93</f>
        <v>Other: (CDLAC Fee)</v>
      </c>
      <c r="B93" s="361">
        <f>'Sources and Uses Budget'!C93</f>
        <v>9188</v>
      </c>
      <c r="C93" s="362">
        <f t="shared" si="6"/>
        <v>9188</v>
      </c>
      <c r="D93" s="362"/>
      <c r="E93" s="361">
        <f>'Sources and Uses Budget'!S93</f>
        <v>9188</v>
      </c>
      <c r="F93" s="362">
        <f t="shared" si="7"/>
        <v>9188</v>
      </c>
      <c r="G93" s="362"/>
      <c r="H93" s="361">
        <f>'Sources and Uses Budget'!T93</f>
        <v>0</v>
      </c>
      <c r="I93" s="362"/>
      <c r="J93" s="362"/>
      <c r="K93" s="359"/>
    </row>
    <row r="94" spans="1:11" s="360" customFormat="1">
      <c r="A94" s="364" t="str">
        <f>'Sources and Uses Budget'!$A94</f>
        <v>Other: (Miscellaneous Third-Party Costs)</v>
      </c>
      <c r="B94" s="361">
        <f>'Sources and Uses Budget'!C94</f>
        <v>250000</v>
      </c>
      <c r="C94" s="362">
        <f t="shared" si="6"/>
        <v>250000</v>
      </c>
      <c r="D94" s="362"/>
      <c r="E94" s="361">
        <f>'Sources and Uses Budget'!S94</f>
        <v>250000</v>
      </c>
      <c r="F94" s="362">
        <f t="shared" si="7"/>
        <v>250000</v>
      </c>
      <c r="G94" s="362"/>
      <c r="H94" s="361">
        <f>'Sources and Uses Budget'!T94</f>
        <v>0</v>
      </c>
      <c r="I94" s="362"/>
      <c r="J94" s="362"/>
      <c r="K94" s="359"/>
    </row>
    <row r="95" spans="1:11" s="360" customFormat="1">
      <c r="A95" s="364" t="str">
        <f>'Sources and Uses Budget'!$A95</f>
        <v>Other: (Predevelopment Loan Interest)</v>
      </c>
      <c r="B95" s="361">
        <f>'Sources and Uses Budget'!C95</f>
        <v>500000</v>
      </c>
      <c r="C95" s="362">
        <f t="shared" si="6"/>
        <v>500000</v>
      </c>
      <c r="D95" s="362"/>
      <c r="E95" s="361">
        <f>'Sources and Uses Budget'!S95</f>
        <v>500000</v>
      </c>
      <c r="F95" s="362">
        <f t="shared" si="7"/>
        <v>500000</v>
      </c>
      <c r="G95" s="362"/>
      <c r="H95" s="361">
        <f>'Sources and Uses Budget'!T95</f>
        <v>0</v>
      </c>
      <c r="I95" s="362"/>
      <c r="J95" s="362"/>
      <c r="K95" s="359"/>
    </row>
    <row r="96" spans="1:11" s="360" customFormat="1">
      <c r="A96" s="365" t="s">
        <v>774</v>
      </c>
      <c r="B96" s="361">
        <f>'Sources and Uses Budget'!C96</f>
        <v>4031224</v>
      </c>
      <c r="C96" s="361">
        <f>SUM(C83:C95)</f>
        <v>4031224</v>
      </c>
      <c r="D96" s="361">
        <f>SUM(D83:D95)</f>
        <v>0</v>
      </c>
      <c r="E96" s="361">
        <f>'Sources and Uses Budget'!S96</f>
        <v>3884188</v>
      </c>
      <c r="F96" s="367">
        <f>SUM(F84:F87,F89:F95)</f>
        <v>3884188</v>
      </c>
      <c r="G96" s="367">
        <f>SUM(G84:G87,G89:G95)</f>
        <v>0</v>
      </c>
      <c r="H96" s="361">
        <f>'Sources and Uses Budget'!T96</f>
        <v>0</v>
      </c>
      <c r="I96" s="361">
        <f>SUM(I84:I87,I89:I95)</f>
        <v>0</v>
      </c>
      <c r="J96" s="361">
        <f>SUM(J84:J87,J89:J95)</f>
        <v>0</v>
      </c>
      <c r="K96" s="359"/>
    </row>
    <row r="97" spans="1:11" s="360" customFormat="1">
      <c r="A97" s="365" t="s">
        <v>1028</v>
      </c>
      <c r="B97" s="361">
        <f>'Sources and Uses Budget'!C97</f>
        <v>49169510</v>
      </c>
      <c r="C97" s="361">
        <f>SUM(C63+C70+C77+C81+C96)</f>
        <v>49169510</v>
      </c>
      <c r="D97" s="361">
        <f>SUM(D63+D70+D77+D81+D96)</f>
        <v>0</v>
      </c>
      <c r="E97" s="361">
        <f>'Sources and Uses Budget'!S97</f>
        <v>45383811</v>
      </c>
      <c r="F97" s="367">
        <f>SUM(+F63+F70+F81+F96)</f>
        <v>45383811</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6800000</v>
      </c>
      <c r="C99" s="362">
        <f>B99</f>
        <v>6800000</v>
      </c>
      <c r="D99" s="362"/>
      <c r="E99" s="361">
        <f>'Sources and Uses Budget'!S99</f>
        <v>6800000</v>
      </c>
      <c r="F99" s="362">
        <f>E99</f>
        <v>6800000</v>
      </c>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6800000</v>
      </c>
      <c r="C104" s="361">
        <f>SUM(C99:C103)</f>
        <v>6800000</v>
      </c>
      <c r="D104" s="361">
        <f>SUM(D99:D103)</f>
        <v>0</v>
      </c>
      <c r="E104" s="361">
        <f>'Sources and Uses Budget'!S104</f>
        <v>6800000</v>
      </c>
      <c r="F104" s="367">
        <f>SUM(F99:F103)</f>
        <v>6800000</v>
      </c>
      <c r="G104" s="367">
        <f>SUM(G99:G103)</f>
        <v>0</v>
      </c>
      <c r="H104" s="361">
        <f>'Sources and Uses Budget'!T104</f>
        <v>0</v>
      </c>
      <c r="I104" s="367">
        <f>SUM(I99:I103)</f>
        <v>0</v>
      </c>
      <c r="J104" s="367">
        <f>SUM(J99:J103)</f>
        <v>0</v>
      </c>
      <c r="K104" s="359"/>
    </row>
    <row r="105" spans="1:11" s="360" customFormat="1">
      <c r="A105" s="365" t="s">
        <v>1029</v>
      </c>
      <c r="B105" s="361">
        <f>'Sources and Uses Budget'!C105</f>
        <v>55969510</v>
      </c>
      <c r="C105" s="367">
        <f>SUM(C97+C104)</f>
        <v>55969510</v>
      </c>
      <c r="D105" s="367">
        <f>SUM(D97+D104)</f>
        <v>0</v>
      </c>
      <c r="E105" s="361">
        <f>'Sources and Uses Budget'!S105</f>
        <v>52183811</v>
      </c>
      <c r="F105" s="367">
        <f>F97+F104</f>
        <v>52183811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52183811</v>
      </c>
      <c r="F107" s="367">
        <f>F105+F106</f>
        <v>52183811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4"/>
      <c r="E124" s="1314"/>
      <c r="F124" s="1314"/>
      <c r="G124" s="1314"/>
      <c r="H124" s="1314"/>
      <c r="I124" s="1314"/>
      <c r="J124" s="376"/>
      <c r="K124" s="359"/>
    </row>
    <row r="125" spans="1:11" s="360" customFormat="1" ht="12.5">
      <c r="A125" s="385"/>
      <c r="B125" s="384"/>
      <c r="C125" s="385"/>
      <c r="D125" s="1314"/>
      <c r="E125" s="1314"/>
      <c r="F125" s="1314"/>
      <c r="G125" s="1314"/>
      <c r="H125" s="1314"/>
      <c r="I125" s="1314"/>
      <c r="J125" s="376"/>
      <c r="K125" s="359"/>
    </row>
    <row r="126" spans="1:11" s="360" customFormat="1" ht="12.5">
      <c r="A126" s="385"/>
      <c r="B126" s="384"/>
      <c r="C126" s="385"/>
      <c r="D126" s="1314"/>
      <c r="E126" s="1314"/>
      <c r="F126" s="1314"/>
      <c r="G126" s="1314"/>
      <c r="H126" s="1314"/>
      <c r="I126" s="1314"/>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328125" defaultRowHeight="15.75" customHeight="1"/>
  <cols>
    <col min="1" max="8" width="2.6328125" style="1187"/>
    <col min="9" max="9" width="7.6328125" style="1187" customWidth="1"/>
    <col min="10" max="13" width="2.6328125" style="1187"/>
    <col min="14" max="14" width="4.6328125" style="1187" customWidth="1"/>
    <col min="15" max="19" width="2.6328125" style="1187"/>
    <col min="20" max="20" width="3.6328125" style="1187" customWidth="1"/>
    <col min="21" max="37" width="2.6328125" style="1187"/>
    <col min="38" max="38" width="3" style="1187" customWidth="1"/>
    <col min="39" max="45" width="2.6328125" style="1187"/>
    <col min="46" max="46" width="4.6328125" style="1187" customWidth="1"/>
    <col min="47" max="64" width="2.6328125" style="1187"/>
    <col min="65" max="65" width="10.453125" style="1187" hidden="1" customWidth="1"/>
    <col min="66" max="66" width="5.453125" style="1256" bestFit="1" customWidth="1"/>
    <col min="67" max="68" width="5.453125" style="1256" customWidth="1"/>
    <col min="69" max="69" width="8" style="1256" customWidth="1"/>
    <col min="70" max="70" width="6" style="1256" customWidth="1"/>
    <col min="71" max="71" width="6.08984375" style="1256" customWidth="1"/>
    <col min="72" max="76" width="5.453125" style="1256" customWidth="1"/>
    <col min="77" max="77" width="6.08984375" style="1256" bestFit="1" customWidth="1"/>
    <col min="78" max="78" width="5.453125" style="1187" bestFit="1" customWidth="1"/>
    <col min="79" max="16384" width="2.6328125" style="1187"/>
  </cols>
  <sheetData>
    <row r="1" spans="1:65" ht="15.75" customHeight="1">
      <c r="A1" s="1887" t="s">
        <v>2456</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2455</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9" t="str">
        <f>IF(Application!H18="","",Application!H18)</f>
        <v>Hillcrest Hall</v>
      </c>
      <c r="M4" s="1880"/>
      <c r="N4" s="1880"/>
      <c r="O4" s="1880"/>
      <c r="P4" s="1880"/>
      <c r="Q4" s="1880"/>
      <c r="R4" s="1880"/>
      <c r="S4" s="1880"/>
      <c r="T4" s="1880"/>
      <c r="U4" s="1880"/>
      <c r="V4" s="1880"/>
      <c r="W4" s="1880"/>
      <c r="X4" s="1880"/>
      <c r="Y4" s="1880"/>
      <c r="Z4" s="1880"/>
      <c r="AA4" s="1880"/>
      <c r="AB4" s="1880"/>
      <c r="AC4" s="1881"/>
      <c r="AD4" s="1190"/>
      <c r="AE4" s="1190"/>
      <c r="AF4" s="1893" t="s">
        <v>2454</v>
      </c>
      <c r="AG4" s="1893"/>
      <c r="AH4" s="1893"/>
      <c r="AI4" s="1893"/>
      <c r="AJ4" s="1893"/>
      <c r="AK4" s="1893"/>
      <c r="AL4" s="1893"/>
      <c r="AM4" s="1893"/>
      <c r="AN4" s="1893"/>
      <c r="AO4" s="1893"/>
      <c r="AP4" s="1894"/>
      <c r="AQ4" s="1895"/>
      <c r="AR4" s="1895"/>
      <c r="AS4" s="1895"/>
      <c r="AT4" s="1895"/>
      <c r="AU4" s="189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3" t="s">
        <v>2453</v>
      </c>
      <c r="AG5" s="1893"/>
      <c r="AH5" s="1893"/>
      <c r="AI5" s="1893"/>
      <c r="AJ5" s="1893"/>
      <c r="AK5" s="1893"/>
      <c r="AL5" s="1893"/>
      <c r="AM5" s="1893"/>
      <c r="AN5" s="1893"/>
      <c r="AO5" s="1893"/>
      <c r="AP5" s="1894"/>
      <c r="AQ5" s="1895"/>
      <c r="AR5" s="1895"/>
      <c r="AS5" s="1895"/>
      <c r="AT5" s="1895"/>
      <c r="AU5" s="1895"/>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9" t="str">
        <f>IF(Application!H16="","",Application!H16)</f>
        <v>Hillcrest Hall LP</v>
      </c>
      <c r="M6" s="1880"/>
      <c r="N6" s="1880"/>
      <c r="O6" s="1880"/>
      <c r="P6" s="1880"/>
      <c r="Q6" s="1880"/>
      <c r="R6" s="1880"/>
      <c r="S6" s="1880"/>
      <c r="T6" s="1880"/>
      <c r="U6" s="1880"/>
      <c r="V6" s="1880"/>
      <c r="W6" s="1880"/>
      <c r="X6" s="1880"/>
      <c r="Y6" s="1880"/>
      <c r="Z6" s="1880"/>
      <c r="AA6" s="1880"/>
      <c r="AB6" s="1880"/>
      <c r="AC6" s="1881"/>
      <c r="AD6" s="1190"/>
      <c r="AE6" s="1190"/>
      <c r="AF6" s="1882" t="s">
        <v>2451</v>
      </c>
      <c r="AG6" s="1882"/>
      <c r="AH6" s="1882"/>
      <c r="AI6" s="1882"/>
      <c r="AJ6" s="1882"/>
      <c r="AK6" s="1882"/>
      <c r="AL6" s="1882"/>
      <c r="AM6" s="1882"/>
      <c r="AN6" s="1882"/>
      <c r="AO6" s="1882"/>
      <c r="AP6" s="1883"/>
      <c r="AQ6" s="1883"/>
      <c r="AR6" s="1883"/>
      <c r="AS6" s="1883"/>
      <c r="AT6" s="1883"/>
      <c r="AU6" s="1883"/>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2" t="s">
        <v>2450</v>
      </c>
      <c r="AG7" s="1882"/>
      <c r="AH7" s="1882"/>
      <c r="AI7" s="1882"/>
      <c r="AJ7" s="1882"/>
      <c r="AK7" s="1882"/>
      <c r="AL7" s="1882"/>
      <c r="AM7" s="1882"/>
      <c r="AN7" s="1882"/>
      <c r="AO7" s="1882"/>
      <c r="AP7" s="1883"/>
      <c r="AQ7" s="1883"/>
      <c r="AR7" s="1883"/>
      <c r="AS7" s="1883"/>
      <c r="AT7" s="1883"/>
      <c r="AU7" s="1883"/>
      <c r="AV7" s="1190"/>
      <c r="AW7" s="1190"/>
      <c r="AX7" s="1190"/>
      <c r="AY7" s="1190"/>
      <c r="AZ7" s="1190"/>
      <c r="BA7" s="1190"/>
      <c r="BB7" s="1190"/>
      <c r="BC7" s="1190"/>
      <c r="BD7" s="1190"/>
      <c r="BE7" s="1191"/>
    </row>
    <row r="8" spans="1:65" ht="1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4" t="str">
        <f>Application!T197</f>
        <v>No</v>
      </c>
      <c r="AC8" s="1885"/>
      <c r="AD8" s="1886"/>
      <c r="AE8" s="1190"/>
      <c r="AF8" s="1882" t="s">
        <v>2448</v>
      </c>
      <c r="AG8" s="1882"/>
      <c r="AH8" s="1882"/>
      <c r="AI8" s="1882"/>
      <c r="AJ8" s="1882"/>
      <c r="AK8" s="1882"/>
      <c r="AL8" s="1882"/>
      <c r="AM8" s="1882"/>
      <c r="AN8" s="1882"/>
      <c r="AO8" s="1882"/>
      <c r="AP8" s="1883" t="s">
        <v>2097</v>
      </c>
      <c r="AQ8" s="1883"/>
      <c r="AR8" s="1883"/>
      <c r="AS8" s="1883"/>
      <c r="AT8" s="1883"/>
      <c r="AU8" s="1883"/>
      <c r="AV8" s="1190"/>
      <c r="AW8" s="1190"/>
      <c r="AX8" s="1190"/>
      <c r="AY8" s="1190"/>
      <c r="AZ8" s="1190"/>
      <c r="BA8" s="1190"/>
      <c r="BB8" s="1190"/>
      <c r="BC8" s="1190"/>
      <c r="BD8" s="1190"/>
      <c r="BE8" s="1191"/>
      <c r="BM8" s="1187" t="s">
        <v>1982</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3" t="s">
        <v>2447</v>
      </c>
      <c r="AG9" s="1893"/>
      <c r="AH9" s="1893"/>
      <c r="AI9" s="1893"/>
      <c r="AJ9" s="1893"/>
      <c r="AK9" s="1893"/>
      <c r="AL9" s="1893"/>
      <c r="AM9" s="1893"/>
      <c r="AN9" s="1893"/>
      <c r="AO9" s="1893"/>
      <c r="AP9" s="1894"/>
      <c r="AQ9" s="1895"/>
      <c r="AR9" s="1895"/>
      <c r="AS9" s="1895"/>
      <c r="AT9" s="1895"/>
      <c r="AU9" s="1895"/>
      <c r="AV9" s="1190"/>
      <c r="AW9" s="1190"/>
      <c r="AX9" s="1190"/>
      <c r="AY9" s="1190"/>
      <c r="AZ9" s="1190"/>
      <c r="BA9" s="1190"/>
      <c r="BB9" s="1190"/>
      <c r="BC9" s="1190"/>
      <c r="BD9" s="1190"/>
      <c r="BE9" s="1191"/>
      <c r="BM9" s="1187" t="s">
        <v>2446</v>
      </c>
    </row>
    <row r="10" spans="1:65" ht="14.5">
      <c r="A10" s="1189"/>
      <c r="B10" s="1192" t="s">
        <v>2445</v>
      </c>
      <c r="C10" s="1192"/>
      <c r="D10" s="1192"/>
      <c r="E10" s="1192"/>
      <c r="F10" s="1192"/>
      <c r="G10" s="1192"/>
      <c r="H10" s="1192"/>
      <c r="I10" s="1192"/>
      <c r="J10" s="1192"/>
      <c r="K10" s="1192"/>
      <c r="L10" s="1192"/>
      <c r="M10" s="1190"/>
      <c r="N10" s="1908">
        <f>Application!AO627</f>
        <v>11300855</v>
      </c>
      <c r="O10" s="1908"/>
      <c r="P10" s="1908"/>
      <c r="Q10" s="1908"/>
      <c r="R10" s="1908"/>
      <c r="S10" s="1908"/>
      <c r="T10" s="1908"/>
      <c r="U10" s="1190"/>
      <c r="V10" s="1190"/>
      <c r="W10" s="1190"/>
      <c r="X10" s="1193"/>
      <c r="Y10" s="1193"/>
      <c r="Z10" s="1193"/>
      <c r="AA10" s="1193"/>
      <c r="AB10" s="1193"/>
      <c r="AC10" s="1193"/>
      <c r="AD10" s="1193"/>
      <c r="AE10" s="1193"/>
      <c r="AF10" s="1893" t="s">
        <v>2444</v>
      </c>
      <c r="AG10" s="1893"/>
      <c r="AH10" s="1893"/>
      <c r="AI10" s="1893"/>
      <c r="AJ10" s="1893"/>
      <c r="AK10" s="1893"/>
      <c r="AL10" s="1893"/>
      <c r="AM10" s="1893"/>
      <c r="AN10" s="1893"/>
      <c r="AO10" s="1893"/>
      <c r="AP10" s="1894"/>
      <c r="AQ10" s="1895"/>
      <c r="AR10" s="1895"/>
      <c r="AS10" s="1895"/>
      <c r="AT10" s="1895"/>
      <c r="AU10" s="1895"/>
      <c r="AV10" s="1193"/>
      <c r="AW10" s="1193"/>
      <c r="AX10" s="1190"/>
      <c r="AY10" s="1190"/>
      <c r="AZ10" s="1190"/>
      <c r="BA10" s="1190"/>
      <c r="BB10" s="1190"/>
      <c r="BC10" s="1190"/>
      <c r="BD10" s="1190"/>
      <c r="BE10" s="1191"/>
      <c r="BM10" s="1187" t="s">
        <v>2443</v>
      </c>
    </row>
    <row r="11" spans="1:65" ht="14.5">
      <c r="A11" s="1189"/>
      <c r="B11" s="1192" t="s">
        <v>2442</v>
      </c>
      <c r="C11" s="1192"/>
      <c r="D11" s="1192"/>
      <c r="E11" s="1192"/>
      <c r="F11" s="1192"/>
      <c r="G11" s="1192"/>
      <c r="H11" s="1192"/>
      <c r="I11" s="1192"/>
      <c r="J11" s="1192"/>
      <c r="K11" s="1192"/>
      <c r="L11" s="1192"/>
      <c r="M11" s="1190"/>
      <c r="N11" s="1908">
        <f>Application!AA934</f>
        <v>0</v>
      </c>
      <c r="O11" s="1908"/>
      <c r="P11" s="1908"/>
      <c r="Q11" s="1908"/>
      <c r="R11" s="1908"/>
      <c r="S11" s="1908"/>
      <c r="T11" s="1908"/>
      <c r="U11" s="1190"/>
      <c r="V11" s="1190"/>
      <c r="W11" s="1190"/>
      <c r="X11" s="1193"/>
      <c r="Y11" s="1193"/>
      <c r="Z11" s="1193"/>
      <c r="AA11" s="1193"/>
      <c r="AB11" s="1193"/>
      <c r="AC11" s="1193"/>
      <c r="AD11" s="1193"/>
      <c r="AE11" s="1193"/>
      <c r="AF11" s="1893" t="s">
        <v>2441</v>
      </c>
      <c r="AG11" s="1893"/>
      <c r="AH11" s="1893"/>
      <c r="AI11" s="1893"/>
      <c r="AJ11" s="1893"/>
      <c r="AK11" s="1893"/>
      <c r="AL11" s="1893"/>
      <c r="AM11" s="1893"/>
      <c r="AN11" s="1893"/>
      <c r="AO11" s="1893"/>
      <c r="AP11" s="1894"/>
      <c r="AQ11" s="1895"/>
      <c r="AR11" s="1895"/>
      <c r="AS11" s="1895"/>
      <c r="AT11" s="1895"/>
      <c r="AU11" s="1895"/>
      <c r="AV11" s="1193"/>
      <c r="AW11" s="1193"/>
      <c r="AX11" s="1190"/>
      <c r="AY11" s="1190"/>
      <c r="AZ11" s="1190"/>
      <c r="BA11" s="1190"/>
      <c r="BB11" s="1190"/>
      <c r="BC11" s="1190"/>
      <c r="BD11" s="1190"/>
      <c r="BE11" s="1191"/>
      <c r="BM11" s="1187" t="s">
        <v>2097</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 thickBot="1">
      <c r="A13" s="1190"/>
      <c r="B13" s="1896" t="s">
        <v>2439</v>
      </c>
      <c r="C13" s="1897"/>
      <c r="D13" s="1897"/>
      <c r="E13" s="1897"/>
      <c r="F13" s="1897"/>
      <c r="G13" s="1897"/>
      <c r="H13" s="1897"/>
      <c r="I13" s="1897"/>
      <c r="J13" s="1897"/>
      <c r="K13" s="1897"/>
      <c r="L13" s="1897"/>
      <c r="M13" s="1897"/>
      <c r="N13" s="1897"/>
      <c r="O13" s="1897"/>
      <c r="P13" s="1898"/>
      <c r="Q13" s="1899" t="s">
        <v>669</v>
      </c>
      <c r="R13" s="1900"/>
      <c r="S13" s="1900"/>
      <c r="T13" s="1901"/>
      <c r="U13" s="1193"/>
      <c r="V13" s="1190"/>
      <c r="W13" s="1190"/>
      <c r="X13" s="1190"/>
      <c r="Y13" s="1190"/>
      <c r="Z13" s="1190"/>
      <c r="AA13" s="1902" t="s">
        <v>2438</v>
      </c>
      <c r="AB13" s="1902"/>
      <c r="AC13" s="1902"/>
      <c r="AD13" s="1902"/>
      <c r="AE13" s="1902"/>
      <c r="AF13" s="1902"/>
      <c r="AG13" s="1902"/>
      <c r="AH13" s="1902"/>
      <c r="AI13" s="1902"/>
      <c r="AJ13" s="1902"/>
      <c r="AK13" s="1902"/>
      <c r="AL13" s="1902"/>
      <c r="AM13" s="1902"/>
      <c r="AN13" s="1902"/>
      <c r="AO13" s="1903">
        <f>Application!W473</f>
        <v>15</v>
      </c>
      <c r="AP13" s="1904"/>
      <c r="AQ13" s="1904"/>
      <c r="AR13" s="1904"/>
      <c r="AS13" s="1904"/>
      <c r="AT13" s="1193"/>
      <c r="AU13" s="1193"/>
      <c r="AV13" s="1193"/>
      <c r="AW13" s="1193"/>
      <c r="AX13" s="1193"/>
      <c r="AY13" s="1193"/>
      <c r="AZ13" s="1193"/>
      <c r="BA13" s="1193"/>
      <c r="BB13" s="1193"/>
      <c r="BC13" s="1193"/>
      <c r="BD13" s="1193"/>
      <c r="BE13" s="1194"/>
      <c r="BM13" s="1187" t="s">
        <v>2437</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5" t="s">
        <v>2436</v>
      </c>
      <c r="AB14" s="1905"/>
      <c r="AC14" s="1905"/>
      <c r="AD14" s="1905"/>
      <c r="AE14" s="1905"/>
      <c r="AF14" s="1905"/>
      <c r="AG14" s="1905"/>
      <c r="AH14" s="1905"/>
      <c r="AI14" s="1905"/>
      <c r="AJ14" s="1905"/>
      <c r="AK14" s="1905"/>
      <c r="AL14" s="1905"/>
      <c r="AM14" s="1905"/>
      <c r="AN14" s="1905"/>
      <c r="AO14" s="1906"/>
      <c r="AP14" s="1907"/>
      <c r="AQ14" s="1907"/>
      <c r="AR14" s="1907"/>
      <c r="AS14" s="1907"/>
      <c r="AT14" s="1193"/>
      <c r="AU14" s="1193"/>
      <c r="AV14" s="1193"/>
      <c r="AW14" s="1193"/>
      <c r="AX14" s="1193"/>
      <c r="AY14" s="1193"/>
      <c r="AZ14" s="1193"/>
      <c r="BA14" s="1193"/>
      <c r="BB14" s="1193"/>
      <c r="BC14" s="1193"/>
      <c r="BD14" s="1193"/>
      <c r="BE14" s="1194"/>
    </row>
    <row r="15" spans="1:65" ht="15" thickBot="1">
      <c r="A15" s="1190"/>
      <c r="B15" s="1909" t="s">
        <v>2435</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3"/>
      <c r="Y15" s="1190"/>
      <c r="Z15" s="1190"/>
      <c r="AA15" s="1902" t="s">
        <v>2434</v>
      </c>
      <c r="AB15" s="1902"/>
      <c r="AC15" s="1902"/>
      <c r="AD15" s="1902"/>
      <c r="AE15" s="1902"/>
      <c r="AF15" s="1902"/>
      <c r="AG15" s="1902"/>
      <c r="AH15" s="1902"/>
      <c r="AI15" s="1902"/>
      <c r="AJ15" s="1902"/>
      <c r="AK15" s="1902"/>
      <c r="AL15" s="1902"/>
      <c r="AM15" s="1902"/>
      <c r="AN15" s="1902"/>
      <c r="AO15" s="1906"/>
      <c r="AP15" s="1907"/>
      <c r="AQ15" s="1907"/>
      <c r="AR15" s="1907"/>
      <c r="AS15" s="1907"/>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14" t="s">
        <v>2433</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90"/>
      <c r="BA17" s="1190"/>
      <c r="BB17" s="1190"/>
      <c r="BC17" s="1190"/>
      <c r="BD17" s="1190"/>
      <c r="BE17" s="1194"/>
      <c r="BF17" s="1188"/>
    </row>
    <row r="18" spans="1:58" ht="15.75" customHeight="1">
      <c r="A18" s="1190"/>
      <c r="B18" s="1917" t="s">
        <v>2432</v>
      </c>
      <c r="C18" s="1918"/>
      <c r="D18" s="1918"/>
      <c r="E18" s="1918"/>
      <c r="F18" s="1918"/>
      <c r="G18" s="1918"/>
      <c r="H18" s="1918"/>
      <c r="I18" s="1919"/>
      <c r="J18" s="1920" t="s">
        <v>1585</v>
      </c>
      <c r="K18" s="1921"/>
      <c r="L18" s="1921"/>
      <c r="M18" s="1921"/>
      <c r="N18" s="1921"/>
      <c r="O18" s="1922"/>
      <c r="P18" s="1920" t="s">
        <v>324</v>
      </c>
      <c r="Q18" s="1921"/>
      <c r="R18" s="1921"/>
      <c r="S18" s="1921"/>
      <c r="T18" s="1921"/>
      <c r="U18" s="1922"/>
      <c r="V18" s="1920" t="s">
        <v>325</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2431</v>
      </c>
      <c r="AU18" s="1921"/>
      <c r="AV18" s="1921"/>
      <c r="AW18" s="1921"/>
      <c r="AX18" s="1921"/>
      <c r="AY18" s="1923"/>
      <c r="AZ18" s="1190"/>
      <c r="BA18" s="1190"/>
      <c r="BB18" s="1190"/>
      <c r="BC18" s="1190"/>
      <c r="BD18" s="1190"/>
      <c r="BE18" s="1194"/>
    </row>
    <row r="19" spans="1:58" ht="14.5">
      <c r="A19" s="1190"/>
      <c r="B19" s="1924">
        <v>0.3</v>
      </c>
      <c r="C19" s="1925"/>
      <c r="D19" s="1925"/>
      <c r="E19" s="1925"/>
      <c r="F19" s="1925"/>
      <c r="G19" s="1925"/>
      <c r="H19" s="1925"/>
      <c r="I19" s="1926"/>
      <c r="J19" s="1927">
        <f t="shared" ref="J19:J24" si="0">SUM(P19:AS19)</f>
        <v>15</v>
      </c>
      <c r="K19" s="1928"/>
      <c r="L19" s="1928"/>
      <c r="M19" s="1928"/>
      <c r="N19" s="1928"/>
      <c r="O19" s="1929"/>
      <c r="P19" s="1927" cm="1">
        <f t="array" ref="P19">SUMPRODUCT((Application!$B$718:$B$752 = 'CalHFA Addendum'!P$18)*(Application!$AC$718:$AC$752 = 'CalHFA Addendum'!$B19),Application!$G$718:$G$752)</f>
        <v>0</v>
      </c>
      <c r="Q19" s="1928"/>
      <c r="R19" s="1928"/>
      <c r="S19" s="1928"/>
      <c r="T19" s="1928"/>
      <c r="U19" s="1929"/>
      <c r="V19" s="1927" cm="1">
        <f t="array" ref="V19">SUMPRODUCT((Application!$B$714:$B$738 = 'CalHFA Addendum'!V$18)*(Application!$AC$714:$AC$738 = 'CalHFA Addendum'!$B19),Application!$G$714:$G$738)</f>
        <v>7</v>
      </c>
      <c r="W19" s="1928"/>
      <c r="X19" s="1928"/>
      <c r="Y19" s="1928"/>
      <c r="Z19" s="1928"/>
      <c r="AA19" s="1929"/>
      <c r="AB19" s="1927" cm="1">
        <f t="array" ref="AB19">SUMPRODUCT((Application!$B$714:$B$738 = 'CalHFA Addendum'!AB$18)*(Application!$AC$714:$AC$738 = 'CalHFA Addendum'!$B19),Application!$G$714:$G$738)</f>
        <v>4</v>
      </c>
      <c r="AC19" s="1928"/>
      <c r="AD19" s="1928"/>
      <c r="AE19" s="1928"/>
      <c r="AF19" s="1928"/>
      <c r="AG19" s="1929"/>
      <c r="AH19" s="1927" cm="1">
        <f t="array" ref="AH19">SUMPRODUCT((Application!$B$714:$B$738 = 'CalHFA Addendum'!AH$18)*(Application!$AC$714:$AC$738 = 'CalHFA Addendum'!$B19),Application!$G$714:$G$738)</f>
        <v>4</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0.15306122448979592</v>
      </c>
      <c r="AU19" s="1931"/>
      <c r="AV19" s="1931"/>
      <c r="AW19" s="1931"/>
      <c r="AX19" s="1931"/>
      <c r="AY19" s="1932"/>
      <c r="AZ19" s="1195"/>
      <c r="BA19" s="1190"/>
      <c r="BB19" s="1190"/>
      <c r="BC19" s="1190"/>
      <c r="BD19" s="1190"/>
      <c r="BE19" s="1194"/>
    </row>
    <row r="20" spans="1:58" ht="15" customHeight="1">
      <c r="A20" s="1190"/>
      <c r="B20" s="1924">
        <v>0.4</v>
      </c>
      <c r="C20" s="1925"/>
      <c r="D20" s="1925"/>
      <c r="E20" s="1925"/>
      <c r="F20" s="1925"/>
      <c r="G20" s="1925"/>
      <c r="H20" s="1925"/>
      <c r="I20" s="1926"/>
      <c r="J20" s="1927">
        <f t="shared" si="0"/>
        <v>0</v>
      </c>
      <c r="K20" s="1928"/>
      <c r="L20" s="1928"/>
      <c r="M20" s="1928"/>
      <c r="N20" s="1928"/>
      <c r="O20" s="1929"/>
      <c r="P20" s="1927" cm="1">
        <f t="array" ref="P20">SUMPRODUCT((Application!$B$718:$B$752 = 'CalHFA Addendum'!P$18)*(Application!$AC$718:$AC$752 = 'CalHFA Addendum'!$B20),Application!$G$718:$G$752)</f>
        <v>0</v>
      </c>
      <c r="Q20" s="1928"/>
      <c r="R20" s="1928"/>
      <c r="S20" s="1928"/>
      <c r="T20" s="1928"/>
      <c r="U20" s="1929"/>
      <c r="V20" s="1927" cm="1">
        <f t="array" ref="V20">SUMPRODUCT((Application!$B$714:$B$738 = 'CalHFA Addendum'!V$18)*(Application!$AC$714:$AC$738 = 'CalHFA Addendum'!$B20),Application!$G$714:$G$738)</f>
        <v>0</v>
      </c>
      <c r="W20" s="1928"/>
      <c r="X20" s="1928"/>
      <c r="Y20" s="1928"/>
      <c r="Z20" s="1928"/>
      <c r="AA20" s="1929"/>
      <c r="AB20" s="1927" cm="1">
        <f t="array" ref="AB20">SUMPRODUCT((Application!$B$714:$B$738 = 'CalHFA Addendum'!AB$18)*(Application!$AC$714:$AC$738 = 'CalHFA Addendum'!$B20),Application!$G$714:$G$738)</f>
        <v>0</v>
      </c>
      <c r="AC20" s="1928"/>
      <c r="AD20" s="1928"/>
      <c r="AE20" s="1928"/>
      <c r="AF20" s="1928"/>
      <c r="AG20" s="1929"/>
      <c r="AH20" s="1927" cm="1">
        <f t="array" ref="AH20">SUMPRODUCT((Application!$B$714:$B$738 = 'CalHFA Addendum'!AH$18)*(Application!$AC$714:$AC$738 = 'CalHFA Addendum'!$B20),Application!$G$714:$G$738)</f>
        <v>0</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v>
      </c>
      <c r="AU20" s="1931"/>
      <c r="AV20" s="1931"/>
      <c r="AW20" s="1931"/>
      <c r="AX20" s="1931"/>
      <c r="AY20" s="1932"/>
      <c r="AZ20" s="1190"/>
      <c r="BA20" s="1190"/>
      <c r="BB20" s="1190"/>
      <c r="BC20" s="1190"/>
      <c r="BD20" s="1190"/>
      <c r="BE20" s="1194"/>
    </row>
    <row r="21" spans="1:58" ht="14.5">
      <c r="A21" s="1190"/>
      <c r="B21" s="1924">
        <v>0.5</v>
      </c>
      <c r="C21" s="1925"/>
      <c r="D21" s="1925"/>
      <c r="E21" s="1925"/>
      <c r="F21" s="1925"/>
      <c r="G21" s="1925"/>
      <c r="H21" s="1925"/>
      <c r="I21" s="1926"/>
      <c r="J21" s="1927">
        <f t="shared" si="0"/>
        <v>11</v>
      </c>
      <c r="K21" s="1928"/>
      <c r="L21" s="1928"/>
      <c r="M21" s="1928"/>
      <c r="N21" s="1928"/>
      <c r="O21" s="1929"/>
      <c r="P21" s="1927" cm="1">
        <f t="array" ref="P21">SUMPRODUCT((Application!$B$714:$B$738 = 'CalHFA Addendum'!P$18)*(Application!$AC$714:$AC$738 = 'CalHFA Addendum'!$B21),Application!$G$714:$G$738)</f>
        <v>0</v>
      </c>
      <c r="Q21" s="1928"/>
      <c r="R21" s="1928"/>
      <c r="S21" s="1928"/>
      <c r="T21" s="1928"/>
      <c r="U21" s="1929"/>
      <c r="V21" s="1927" cm="1">
        <f t="array" ref="V21">SUMPRODUCT((Application!$B$714:$B$738 = 'CalHFA Addendum'!V$18)*(Application!$AC$714:$AC$738 = 'CalHFA Addendum'!$B21),Application!$G$714:$G$738)</f>
        <v>4</v>
      </c>
      <c r="W21" s="1928"/>
      <c r="X21" s="1928"/>
      <c r="Y21" s="1928"/>
      <c r="Z21" s="1928"/>
      <c r="AA21" s="1929"/>
      <c r="AB21" s="1927" cm="1">
        <f t="array" ref="AB21">SUMPRODUCT((Application!$B$714:$B$738 = 'CalHFA Addendum'!AB$18)*(Application!$AC$714:$AC$738 = 'CalHFA Addendum'!$B21),Application!$G$714:$G$738)</f>
        <v>3</v>
      </c>
      <c r="AC21" s="1928"/>
      <c r="AD21" s="1928"/>
      <c r="AE21" s="1928"/>
      <c r="AF21" s="1928"/>
      <c r="AG21" s="1929"/>
      <c r="AH21" s="1927" cm="1">
        <f t="array" ref="AH21">SUMPRODUCT((Application!$B$714:$B$738 = 'CalHFA Addendum'!AH$18)*(Application!$AC$714:$AC$738 = 'CalHFA Addendum'!$B21),Application!$G$714:$G$738)</f>
        <v>4</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0.11224489795918367</v>
      </c>
      <c r="AU21" s="1931"/>
      <c r="AV21" s="1931"/>
      <c r="AW21" s="1931"/>
      <c r="AX21" s="1931"/>
      <c r="AY21" s="1932"/>
      <c r="AZ21" s="1190"/>
      <c r="BA21" s="1190"/>
      <c r="BB21" s="1190"/>
      <c r="BC21" s="1190"/>
      <c r="BD21" s="1190"/>
      <c r="BE21" s="1194"/>
    </row>
    <row r="22" spans="1:58" ht="14.5">
      <c r="A22" s="1190"/>
      <c r="B22" s="1924">
        <v>0.6</v>
      </c>
      <c r="C22" s="1925"/>
      <c r="D22" s="1925"/>
      <c r="E22" s="1925"/>
      <c r="F22" s="1925"/>
      <c r="G22" s="1925"/>
      <c r="H22" s="1925"/>
      <c r="I22" s="1926"/>
      <c r="J22" s="1927">
        <f t="shared" si="0"/>
        <v>40</v>
      </c>
      <c r="K22" s="1928"/>
      <c r="L22" s="1928"/>
      <c r="M22" s="1928"/>
      <c r="N22" s="1928"/>
      <c r="O22" s="1929"/>
      <c r="P22" s="1927" cm="1">
        <f t="array" ref="P22">SUMPRODUCT((Application!$B$714:$B$738 = 'CalHFA Addendum'!P$18)*(Application!$AC$714:$AC$738 = 'CalHFA Addendum'!$B22),Application!$G$714:$G$738)</f>
        <v>0</v>
      </c>
      <c r="Q22" s="1928"/>
      <c r="R22" s="1928"/>
      <c r="S22" s="1928"/>
      <c r="T22" s="1928"/>
      <c r="U22" s="1929"/>
      <c r="V22" s="1927" cm="1">
        <f t="array" ref="V22">SUMPRODUCT((Application!$B$714:$B$738 = 'CalHFA Addendum'!V$18)*(Application!$AC$714:$AC$738 = 'CalHFA Addendum'!$B22),Application!$G$714:$G$738)</f>
        <v>20</v>
      </c>
      <c r="W22" s="1928"/>
      <c r="X22" s="1928"/>
      <c r="Y22" s="1928"/>
      <c r="Z22" s="1928"/>
      <c r="AA22" s="1929"/>
      <c r="AB22" s="1927" cm="1">
        <f t="array" ref="AB22">SUMPRODUCT((Application!$B$714:$B$738 = 'CalHFA Addendum'!AB$18)*(Application!$AC$714:$AC$738 = 'CalHFA Addendum'!$B22),Application!$G$714:$G$738)</f>
        <v>10</v>
      </c>
      <c r="AC22" s="1928"/>
      <c r="AD22" s="1928"/>
      <c r="AE22" s="1928"/>
      <c r="AF22" s="1928"/>
      <c r="AG22" s="1929"/>
      <c r="AH22" s="1927" cm="1">
        <f t="array" ref="AH22">SUMPRODUCT((Application!$B$714:$B$738 = 'CalHFA Addendum'!AH$18)*(Application!$AC$714:$AC$738 = 'CalHFA Addendum'!$B22),Application!$G$714:$G$738)</f>
        <v>10</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0.40816326530612246</v>
      </c>
      <c r="AU22" s="1931"/>
      <c r="AV22" s="1931"/>
      <c r="AW22" s="1931"/>
      <c r="AX22" s="1931"/>
      <c r="AY22" s="1932"/>
      <c r="AZ22" s="1190"/>
      <c r="BA22" s="1190"/>
      <c r="BB22" s="1190"/>
      <c r="BC22" s="1190"/>
      <c r="BD22" s="1190"/>
      <c r="BE22" s="1194"/>
    </row>
    <row r="23" spans="1:58" ht="14.5">
      <c r="A23" s="1190"/>
      <c r="B23" s="1924">
        <v>0.7</v>
      </c>
      <c r="C23" s="1925"/>
      <c r="D23" s="1925"/>
      <c r="E23" s="1925"/>
      <c r="F23" s="1925"/>
      <c r="G23" s="1925"/>
      <c r="H23" s="1925"/>
      <c r="I23" s="1926"/>
      <c r="J23" s="1927">
        <f t="shared" si="0"/>
        <v>31</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4</v>
      </c>
      <c r="W23" s="1928"/>
      <c r="X23" s="1928"/>
      <c r="Y23" s="1928"/>
      <c r="Z23" s="1928"/>
      <c r="AA23" s="1929"/>
      <c r="AB23" s="1927" cm="1">
        <f t="array" ref="AB23">SUMPRODUCT((Application!$B$714:$B$738 = 'CalHFA Addendum'!AB$18)*(Application!$AC$714:$AC$738 = 'CalHFA Addendum'!$B23),Application!$G$714:$G$738)</f>
        <v>11</v>
      </c>
      <c r="AC23" s="1928"/>
      <c r="AD23" s="1928"/>
      <c r="AE23" s="1928"/>
      <c r="AF23" s="1928"/>
      <c r="AG23" s="1929"/>
      <c r="AH23" s="1927" cm="1">
        <f t="array" ref="AH23">SUMPRODUCT((Application!$B$714:$B$738 = 'CalHFA Addendum'!AH$18)*(Application!$AC$714:$AC$738 = 'CalHFA Addendum'!$B23),Application!$G$714:$G$738)</f>
        <v>16</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0.31632653061224492</v>
      </c>
      <c r="AU23" s="1931"/>
      <c r="AV23" s="1931"/>
      <c r="AW23" s="1931"/>
      <c r="AX23" s="1931"/>
      <c r="AY23" s="1932"/>
      <c r="AZ23" s="1190"/>
      <c r="BA23" s="1190"/>
      <c r="BB23" s="1190"/>
      <c r="BC23" s="1190"/>
      <c r="BD23" s="1190"/>
      <c r="BE23" s="1194"/>
    </row>
    <row r="24" spans="1:58" ht="14.5">
      <c r="A24" s="1190"/>
      <c r="B24" s="1924">
        <v>0.8</v>
      </c>
      <c r="C24" s="1925"/>
      <c r="D24" s="1925"/>
      <c r="E24" s="1925"/>
      <c r="F24" s="1925"/>
      <c r="G24" s="1925"/>
      <c r="H24" s="1925"/>
      <c r="I24" s="1926"/>
      <c r="J24" s="1927">
        <f t="shared" si="0"/>
        <v>0</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0</v>
      </c>
      <c r="W24" s="1928"/>
      <c r="X24" s="1928"/>
      <c r="Y24" s="1928"/>
      <c r="Z24" s="1928"/>
      <c r="AA24" s="1929"/>
      <c r="AB24" s="1927" cm="1">
        <f t="array" ref="AB24">SUMPRODUCT((Application!$B$714:$B$738 = 'CalHFA Addendum'!AB$18)*(Application!$AC$714:$AC$738 = 'CalHFA Addendum'!$B24),Application!$G$714:$G$738)</f>
        <v>0</v>
      </c>
      <c r="AC24" s="1928"/>
      <c r="AD24" s="1928"/>
      <c r="AE24" s="1928"/>
      <c r="AF24" s="1928"/>
      <c r="AG24" s="1929"/>
      <c r="AH24" s="1927" cm="1">
        <f t="array" ref="AH24">SUMPRODUCT((Application!$B$714:$B$738 = 'CalHFA Addendum'!AH$18)*(Application!$AC$714:$AC$738 = 'CalHFA Addendum'!$B24),Application!$G$714:$G$738)</f>
        <v>0</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v>
      </c>
      <c r="AU24" s="1931"/>
      <c r="AV24" s="1931"/>
      <c r="AW24" s="1931"/>
      <c r="AX24" s="1931"/>
      <c r="AY24" s="1932"/>
      <c r="AZ24" s="1190"/>
      <c r="BA24" s="1190"/>
      <c r="BB24" s="1190"/>
      <c r="BC24" s="1190"/>
      <c r="BD24" s="1190"/>
      <c r="BE24" s="1194"/>
    </row>
    <row r="25" spans="1:58" ht="14.5">
      <c r="A25" s="1190"/>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90"/>
      <c r="BA25" s="1190"/>
      <c r="BB25" s="1190"/>
      <c r="BC25" s="1190"/>
      <c r="BD25" s="1190"/>
      <c r="BE25" s="1194"/>
    </row>
    <row r="26" spans="1:58" ht="14.5">
      <c r="A26" s="1190"/>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90"/>
      <c r="BA26" s="1190"/>
      <c r="BB26" s="1190"/>
      <c r="BC26" s="1190"/>
      <c r="BD26" s="1190"/>
      <c r="BE26" s="1194"/>
    </row>
    <row r="27" spans="1:58" ht="14.5">
      <c r="A27" s="1190"/>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90"/>
      <c r="BA27" s="1190"/>
      <c r="BB27" s="1190"/>
      <c r="BC27" s="1190"/>
      <c r="BD27" s="1190"/>
      <c r="BE27" s="1194"/>
    </row>
    <row r="28" spans="1:58" ht="15" thickBot="1">
      <c r="A28" s="1190"/>
      <c r="B28" s="1936" t="s">
        <v>2430</v>
      </c>
      <c r="C28" s="1937"/>
      <c r="D28" s="1937"/>
      <c r="E28" s="1937"/>
      <c r="F28" s="1937"/>
      <c r="G28" s="1937"/>
      <c r="H28" s="1937"/>
      <c r="I28" s="1938"/>
      <c r="J28" s="1939">
        <f>SUM(P28:AS28)</f>
        <v>1</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0</v>
      </c>
      <c r="AC28" s="1940"/>
      <c r="AD28" s="1940"/>
      <c r="AE28" s="1940"/>
      <c r="AF28" s="1940"/>
      <c r="AG28" s="1941"/>
      <c r="AH28" s="1939">
        <f>_xlfn.IFNA(VLOOKUP(AH$18,Application!$J$773:$S$776,6,FALSE), 0)</f>
        <v>1</v>
      </c>
      <c r="AI28" s="1940"/>
      <c r="AJ28" s="1940"/>
      <c r="AK28" s="1940"/>
      <c r="AL28" s="1940"/>
      <c r="AM28" s="1941"/>
      <c r="AN28" s="1939">
        <f>_xlfn.IFNA(VLOOKUP(AN$18,Application!$J$773:$S$776,6,FALSE), 0)</f>
        <v>0</v>
      </c>
      <c r="AO28" s="1940"/>
      <c r="AP28" s="1940"/>
      <c r="AQ28" s="1940"/>
      <c r="AR28" s="1940"/>
      <c r="AS28" s="1941"/>
      <c r="AT28" s="1942">
        <f t="shared" si="1"/>
        <v>1.020408163265306E-2</v>
      </c>
      <c r="AU28" s="1943"/>
      <c r="AV28" s="1943"/>
      <c r="AW28" s="1943"/>
      <c r="AX28" s="1943"/>
      <c r="AY28" s="1944"/>
      <c r="AZ28" s="1190"/>
      <c r="BA28" s="1190"/>
      <c r="BB28" s="1190"/>
      <c r="BC28" s="1190"/>
      <c r="BD28" s="1190"/>
      <c r="BE28" s="1194"/>
    </row>
    <row r="29" spans="1:58" ht="15" thickBot="1">
      <c r="A29" s="1190"/>
      <c r="B29" s="1973" t="s">
        <v>1585</v>
      </c>
      <c r="C29" s="1946"/>
      <c r="D29" s="1946"/>
      <c r="E29" s="1946"/>
      <c r="F29" s="1946"/>
      <c r="G29" s="1946"/>
      <c r="H29" s="1946"/>
      <c r="I29" s="1947"/>
      <c r="J29" s="1945">
        <f>SUM(J19:O28)</f>
        <v>98</v>
      </c>
      <c r="K29" s="1946"/>
      <c r="L29" s="1946"/>
      <c r="M29" s="1946"/>
      <c r="N29" s="1946"/>
      <c r="O29" s="1947"/>
      <c r="P29" s="1945">
        <f>SUM(P19:U28)</f>
        <v>0</v>
      </c>
      <c r="Q29" s="1946"/>
      <c r="R29" s="1946"/>
      <c r="S29" s="1946"/>
      <c r="T29" s="1946"/>
      <c r="U29" s="1947"/>
      <c r="V29" s="1945">
        <f>SUM(V19:AA28)</f>
        <v>35</v>
      </c>
      <c r="W29" s="1946"/>
      <c r="X29" s="1946"/>
      <c r="Y29" s="1946"/>
      <c r="Z29" s="1946"/>
      <c r="AA29" s="1947"/>
      <c r="AB29" s="1945">
        <f>SUM(AB19:AG28)</f>
        <v>28</v>
      </c>
      <c r="AC29" s="1946"/>
      <c r="AD29" s="1946"/>
      <c r="AE29" s="1946"/>
      <c r="AF29" s="1946"/>
      <c r="AG29" s="1947"/>
      <c r="AH29" s="1945">
        <f>SUM(AH19:AM28)</f>
        <v>35</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51" t="s">
        <v>2429</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4"/>
    </row>
    <row r="32" spans="1:58" ht="15" thickBot="1">
      <c r="A32" s="1190"/>
      <c r="B32" s="1954" t="s">
        <v>2428</v>
      </c>
      <c r="C32" s="1955"/>
      <c r="D32" s="1955"/>
      <c r="E32" s="1955"/>
      <c r="F32" s="1955"/>
      <c r="G32" s="1955"/>
      <c r="H32" s="1955"/>
      <c r="I32" s="1955"/>
      <c r="J32" s="1958" t="s">
        <v>2427</v>
      </c>
      <c r="K32" s="1959"/>
      <c r="L32" s="1959"/>
      <c r="M32" s="1959"/>
      <c r="N32" s="1958" t="s">
        <v>2426</v>
      </c>
      <c r="O32" s="1959"/>
      <c r="P32" s="1959"/>
      <c r="Q32" s="1961"/>
      <c r="R32" s="1963" t="s">
        <v>2425</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4"/>
    </row>
    <row r="33" spans="1:58" ht="15" customHeight="1">
      <c r="A33" s="1190"/>
      <c r="B33" s="1956"/>
      <c r="C33" s="1957"/>
      <c r="D33" s="1957"/>
      <c r="E33" s="1957"/>
      <c r="F33" s="1957"/>
      <c r="G33" s="1957"/>
      <c r="H33" s="1957"/>
      <c r="I33" s="1957"/>
      <c r="J33" s="1960"/>
      <c r="K33" s="1960"/>
      <c r="L33" s="1960"/>
      <c r="M33" s="1960"/>
      <c r="N33" s="1960"/>
      <c r="O33" s="1960"/>
      <c r="P33" s="1960"/>
      <c r="Q33" s="1962"/>
      <c r="R33" s="1966" t="s">
        <v>2424</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4"/>
    </row>
    <row r="34" spans="1:58" ht="15.75" customHeight="1" thickBot="1">
      <c r="A34" s="1190"/>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4"/>
    </row>
    <row r="35" spans="1:58" ht="15.75" customHeight="1">
      <c r="A35" s="1190"/>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2423</v>
      </c>
      <c r="AT35" s="1975"/>
      <c r="AU35" s="1975"/>
      <c r="AV35" s="1975"/>
      <c r="AW35" s="1975"/>
      <c r="AX35" s="1983"/>
      <c r="AY35" s="1974" t="s">
        <v>2422</v>
      </c>
      <c r="AZ35" s="1975"/>
      <c r="BA35" s="1975"/>
      <c r="BB35" s="1975"/>
      <c r="BC35" s="1975"/>
      <c r="BD35" s="1976"/>
      <c r="BE35" s="1194"/>
    </row>
    <row r="36" spans="1:58" ht="15.75" customHeight="1">
      <c r="A36" s="1190"/>
      <c r="B36" s="1993" t="s">
        <v>2421</v>
      </c>
      <c r="C36" s="1994"/>
      <c r="D36" s="1994"/>
      <c r="E36" s="1994"/>
      <c r="F36" s="1994"/>
      <c r="G36" s="1994"/>
      <c r="H36" s="1994"/>
      <c r="I36" s="1994"/>
      <c r="J36" s="1995" t="s">
        <v>2420</v>
      </c>
      <c r="K36" s="1995"/>
      <c r="L36" s="1995"/>
      <c r="M36" s="1995"/>
      <c r="N36" s="1995">
        <v>55</v>
      </c>
      <c r="O36" s="1995"/>
      <c r="P36" s="1995"/>
      <c r="Q36" s="1995"/>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84"/>
      <c r="AM36" s="1985"/>
      <c r="AN36" s="1985"/>
      <c r="AO36" s="1986"/>
      <c r="AP36" s="1984"/>
      <c r="AQ36" s="1985"/>
      <c r="AR36" s="1986"/>
      <c r="AS36" s="1987">
        <f t="shared" ref="AS36:AS47" si="2">SUM(R36:AR36)</f>
        <v>0</v>
      </c>
      <c r="AT36" s="1988"/>
      <c r="AU36" s="1988"/>
      <c r="AV36" s="1988"/>
      <c r="AW36" s="1988"/>
      <c r="AX36" s="1989"/>
      <c r="AY36" s="1990">
        <f t="shared" ref="AY36:AY47" si="3">AS36/$J$29</f>
        <v>0</v>
      </c>
      <c r="AZ36" s="1991"/>
      <c r="BA36" s="1991"/>
      <c r="BB36" s="1991"/>
      <c r="BC36" s="1991"/>
      <c r="BD36" s="1992"/>
      <c r="BE36" s="1194"/>
    </row>
    <row r="37" spans="1:58" ht="15.75" customHeight="1">
      <c r="A37" s="1190"/>
      <c r="B37" s="1993" t="s">
        <v>2419</v>
      </c>
      <c r="C37" s="1994"/>
      <c r="D37" s="1994"/>
      <c r="E37" s="1994"/>
      <c r="F37" s="1994"/>
      <c r="G37" s="1994"/>
      <c r="H37" s="1994"/>
      <c r="I37" s="1994"/>
      <c r="J37" s="1995" t="s">
        <v>2418</v>
      </c>
      <c r="K37" s="1995"/>
      <c r="L37" s="1995"/>
      <c r="M37" s="1995"/>
      <c r="N37" s="1995">
        <v>55</v>
      </c>
      <c r="O37" s="1995"/>
      <c r="P37" s="1995"/>
      <c r="Q37" s="1995"/>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0</v>
      </c>
      <c r="AT37" s="1988"/>
      <c r="AU37" s="1988"/>
      <c r="AV37" s="1988"/>
      <c r="AW37" s="1988"/>
      <c r="AX37" s="1989"/>
      <c r="AY37" s="1990">
        <f t="shared" si="3"/>
        <v>0</v>
      </c>
      <c r="AZ37" s="1991"/>
      <c r="BA37" s="1991"/>
      <c r="BB37" s="1991"/>
      <c r="BC37" s="1991"/>
      <c r="BD37" s="1992"/>
      <c r="BE37" s="1194"/>
    </row>
    <row r="38" spans="1:58" ht="15.75" customHeight="1">
      <c r="A38" s="1190"/>
      <c r="B38" s="1993" t="s">
        <v>2417</v>
      </c>
      <c r="C38" s="1994"/>
      <c r="D38" s="1994"/>
      <c r="E38" s="1994"/>
      <c r="F38" s="1994"/>
      <c r="G38" s="1994"/>
      <c r="H38" s="1994"/>
      <c r="I38" s="1994"/>
      <c r="J38" s="1995" t="s">
        <v>2416</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4"/>
    </row>
    <row r="39" spans="1:58" ht="15.75" customHeight="1">
      <c r="A39" s="1190"/>
      <c r="B39" s="1993" t="s">
        <v>2415</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4"/>
    </row>
    <row r="40" spans="1:58" ht="15.75" customHeight="1">
      <c r="A40" s="1190"/>
      <c r="B40" s="1993" t="s">
        <v>2415</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4"/>
    </row>
    <row r="41" spans="1:58" ht="15.75" customHeight="1">
      <c r="A41" s="1190"/>
      <c r="B41" s="1993" t="s">
        <v>2414</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4"/>
    </row>
    <row r="42" spans="1:58" ht="15.75" customHeight="1">
      <c r="A42" s="1190"/>
      <c r="B42" s="1993" t="s">
        <v>2414</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4"/>
    </row>
    <row r="43" spans="1:58" ht="15.75" customHeight="1">
      <c r="A43" s="1190"/>
      <c r="B43" s="1997" t="s">
        <v>2413</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4"/>
    </row>
    <row r="44" spans="1:58" ht="15.75" customHeight="1">
      <c r="A44" s="1190"/>
      <c r="B44" s="1997" t="s">
        <v>2412</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4"/>
    </row>
    <row r="45" spans="1:58" ht="15.75" customHeight="1">
      <c r="A45" s="1190"/>
      <c r="B45" s="1997" t="s">
        <v>2411</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4"/>
    </row>
    <row r="46" spans="1:58" ht="15.75" customHeight="1">
      <c r="A46" s="1190"/>
      <c r="B46" s="1997" t="s">
        <v>2335</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4"/>
    </row>
    <row r="47" spans="1:58" ht="15.75" customHeight="1" thickBot="1">
      <c r="A47" s="1190"/>
      <c r="B47" s="1999" t="s">
        <v>300</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9" t="s">
        <v>2408</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2" t="s">
        <v>2401</v>
      </c>
      <c r="C51" s="2013"/>
      <c r="D51" s="2013"/>
      <c r="E51" s="2013"/>
      <c r="F51" s="2013"/>
      <c r="G51" s="2013"/>
      <c r="H51" s="2013"/>
      <c r="I51" s="2013"/>
      <c r="J51" s="2013" t="s">
        <v>2407</v>
      </c>
      <c r="K51" s="2013"/>
      <c r="L51" s="2013"/>
      <c r="M51" s="2013"/>
      <c r="N51" s="2013"/>
      <c r="O51" s="2013"/>
      <c r="P51" s="2013"/>
      <c r="Q51" s="2013"/>
      <c r="R51" s="2014" t="s">
        <v>2406</v>
      </c>
      <c r="S51" s="2014"/>
      <c r="T51" s="2014"/>
      <c r="U51" s="2014"/>
      <c r="V51" s="2014"/>
      <c r="W51" s="2014"/>
      <c r="X51" s="2014"/>
      <c r="Y51" s="2014"/>
      <c r="Z51" s="2014" t="s">
        <v>2405</v>
      </c>
      <c r="AA51" s="2014"/>
      <c r="AB51" s="2014"/>
      <c r="AC51" s="2014"/>
      <c r="AD51" s="2014"/>
      <c r="AE51" s="2014"/>
      <c r="AF51" s="2014"/>
      <c r="AG51" s="2014"/>
      <c r="AH51" s="2014" t="s">
        <v>2404</v>
      </c>
      <c r="AI51" s="2014"/>
      <c r="AJ51" s="2014"/>
      <c r="AK51" s="2014"/>
      <c r="AL51" s="2014"/>
      <c r="AM51" s="2014"/>
      <c r="AN51" s="2014"/>
      <c r="AO51" s="201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7" t="s">
        <v>2403</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7" t="s">
        <v>2402</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0" t="s">
        <v>1585</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1" t="s">
        <v>2401</v>
      </c>
      <c r="C59" s="2022"/>
      <c r="D59" s="2022"/>
      <c r="E59" s="2022"/>
      <c r="F59" s="2022"/>
      <c r="G59" s="2022"/>
      <c r="H59" s="2022"/>
      <c r="I59" s="2023"/>
      <c r="J59" s="1915" t="s">
        <v>2400</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90"/>
      <c r="AY59" s="1190"/>
      <c r="AZ59" s="1190"/>
      <c r="BA59" s="1190"/>
      <c r="BB59" s="1190"/>
      <c r="BC59" s="1190"/>
      <c r="BD59" s="1190"/>
      <c r="BE59" s="1194"/>
    </row>
    <row r="60" spans="1:77" ht="15.75" customHeight="1">
      <c r="A60" s="1190"/>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90"/>
      <c r="AY60" s="1190"/>
      <c r="AZ60" s="1190"/>
      <c r="BA60" s="1190"/>
      <c r="BB60" s="1190"/>
      <c r="BC60" s="1190"/>
      <c r="BD60" s="1190"/>
      <c r="BE60" s="1194"/>
    </row>
    <row r="61" spans="1:77" ht="15.75" customHeight="1">
      <c r="A61" s="1190"/>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90"/>
      <c r="AY61" s="1190"/>
      <c r="AZ61" s="1190"/>
      <c r="BA61" s="1190"/>
      <c r="BB61" s="1190"/>
      <c r="BC61" s="1190"/>
      <c r="BD61" s="1190"/>
      <c r="BE61" s="1194"/>
    </row>
    <row r="62" spans="1:77" ht="15.75" customHeight="1">
      <c r="A62" s="1190"/>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90"/>
      <c r="AY62" s="1190"/>
      <c r="AZ62" s="1190"/>
      <c r="BA62" s="1190"/>
      <c r="BB62" s="1190"/>
      <c r="BC62" s="1190"/>
      <c r="BD62" s="1190"/>
      <c r="BE62" s="1194"/>
    </row>
    <row r="63" spans="1:77" ht="15.75" customHeight="1">
      <c r="A63" s="1190"/>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90"/>
      <c r="AY63" s="1190"/>
      <c r="AZ63" s="1190"/>
      <c r="BA63" s="1190"/>
      <c r="BB63" s="1190"/>
      <c r="BC63" s="1190"/>
      <c r="BD63" s="1190"/>
      <c r="BE63" s="1194"/>
    </row>
    <row r="64" spans="1:77" ht="15.75" customHeight="1" thickBot="1">
      <c r="A64" s="1190"/>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4" t="s">
        <v>2398</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90"/>
      <c r="AC68" s="2058" t="s">
        <v>2397</v>
      </c>
      <c r="AD68" s="2059"/>
      <c r="AE68" s="2059"/>
      <c r="AF68" s="2059"/>
      <c r="AG68" s="2059"/>
      <c r="AH68" s="2059"/>
      <c r="AI68" s="2059"/>
      <c r="AJ68" s="2059"/>
      <c r="AK68" s="2059"/>
      <c r="AL68" s="2059"/>
      <c r="AM68" s="2059"/>
      <c r="AN68" s="2059"/>
      <c r="AO68" s="2059"/>
      <c r="AP68" s="2059"/>
      <c r="AQ68" s="2059"/>
      <c r="AR68" s="2059"/>
      <c r="AS68" s="2059"/>
      <c r="AT68" s="2059"/>
      <c r="AU68" s="2059"/>
      <c r="AV68" s="2036" t="s">
        <v>669</v>
      </c>
      <c r="AW68" s="2037"/>
      <c r="AX68" s="2037"/>
      <c r="AY68" s="2037"/>
      <c r="AZ68" s="2037"/>
      <c r="BA68" s="2037"/>
      <c r="BB68" s="2037"/>
      <c r="BC68" s="2038"/>
      <c r="BD68" s="1190"/>
      <c r="BE68" s="1194"/>
      <c r="BM68" s="1199" t="s">
        <v>2396</v>
      </c>
    </row>
    <row r="69" spans="1:94" ht="15.75" customHeight="1" thickTop="1" thickBot="1">
      <c r="A69" s="1190"/>
      <c r="B69" s="2039" t="s">
        <v>2395</v>
      </c>
      <c r="C69" s="2040"/>
      <c r="D69" s="2040"/>
      <c r="E69" s="2040"/>
      <c r="F69" s="2040"/>
      <c r="G69" s="2040"/>
      <c r="H69" s="2040"/>
      <c r="I69" s="2040"/>
      <c r="J69" s="2040"/>
      <c r="K69" s="2040"/>
      <c r="L69" s="2040"/>
      <c r="M69" s="2040"/>
      <c r="N69" s="2040"/>
      <c r="O69" s="2041" t="s">
        <v>2394</v>
      </c>
      <c r="P69" s="2042"/>
      <c r="Q69" s="2042"/>
      <c r="R69" s="2042"/>
      <c r="S69" s="2042"/>
      <c r="T69" s="2042"/>
      <c r="U69" s="2042"/>
      <c r="V69" s="2042"/>
      <c r="W69" s="2042"/>
      <c r="X69" s="2042"/>
      <c r="Y69" s="2042"/>
      <c r="Z69" s="2042"/>
      <c r="AA69" s="2043"/>
      <c r="AB69" s="1190"/>
      <c r="AC69" s="2044" t="s">
        <v>2393</v>
      </c>
      <c r="AD69" s="2045"/>
      <c r="AE69" s="2045"/>
      <c r="AF69" s="2045"/>
      <c r="AG69" s="2045"/>
      <c r="AH69" s="2045"/>
      <c r="AI69" s="2045"/>
      <c r="AJ69" s="2045"/>
      <c r="AK69" s="2045"/>
      <c r="AL69" s="2045"/>
      <c r="AM69" s="2045"/>
      <c r="AN69" s="2045"/>
      <c r="AO69" s="2045"/>
      <c r="AP69" s="2045"/>
      <c r="AQ69" s="2045"/>
      <c r="AR69" s="2045"/>
      <c r="AS69" s="2045"/>
      <c r="AT69" s="2045"/>
      <c r="AU69" s="2045"/>
      <c r="AV69" s="2036" t="s">
        <v>669</v>
      </c>
      <c r="AW69" s="2037"/>
      <c r="AX69" s="2037"/>
      <c r="AY69" s="2037"/>
      <c r="AZ69" s="2037"/>
      <c r="BA69" s="2037"/>
      <c r="BB69" s="2037"/>
      <c r="BC69" s="2038"/>
      <c r="BD69" s="1190"/>
      <c r="BE69" s="1194"/>
      <c r="BM69" s="1200" t="s">
        <v>545</v>
      </c>
    </row>
    <row r="70" spans="1:94" ht="15.75" customHeight="1">
      <c r="A70" s="1190"/>
      <c r="B70" s="1993" t="s">
        <v>2392</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90"/>
      <c r="AC70" s="2009" t="s">
        <v>2391</v>
      </c>
      <c r="AD70" s="2010"/>
      <c r="AE70" s="2010"/>
      <c r="AF70" s="2054"/>
      <c r="AG70" s="2054"/>
      <c r="AH70" s="2054"/>
      <c r="AI70" s="2054"/>
      <c r="AJ70" s="2054"/>
      <c r="AK70" s="2054"/>
      <c r="AL70" s="2054"/>
      <c r="AM70" s="2054"/>
      <c r="AN70" s="2054"/>
      <c r="AO70" s="2054"/>
      <c r="AP70" s="2054"/>
      <c r="AQ70" s="2054"/>
      <c r="AR70" s="2054"/>
      <c r="AS70" s="2054"/>
      <c r="AT70" s="2054"/>
      <c r="AU70" s="2055"/>
      <c r="AV70" s="1190"/>
      <c r="AW70" s="1190"/>
      <c r="AX70" s="1190"/>
      <c r="AY70" s="1190"/>
      <c r="AZ70" s="1190"/>
      <c r="BA70" s="1190"/>
      <c r="BB70" s="1190"/>
      <c r="BC70" s="1190"/>
      <c r="BD70" s="1190"/>
      <c r="BE70" s="1194"/>
      <c r="BM70" s="1201" t="s">
        <v>669</v>
      </c>
    </row>
    <row r="71" spans="1:94" ht="15.75" customHeight="1" thickBot="1">
      <c r="A71" s="1190"/>
      <c r="B71" s="1993" t="s">
        <v>2390</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90"/>
      <c r="AC71" s="2056" t="s">
        <v>2389</v>
      </c>
      <c r="AD71" s="2057"/>
      <c r="AE71" s="2057"/>
      <c r="AF71" s="2050"/>
      <c r="AG71" s="2050"/>
      <c r="AH71" s="2050"/>
      <c r="AI71" s="2050"/>
      <c r="AJ71" s="2050"/>
      <c r="AK71" s="2050"/>
      <c r="AL71" s="2050"/>
      <c r="AM71" s="2050"/>
      <c r="AN71" s="2050"/>
      <c r="AO71" s="2050"/>
      <c r="AP71" s="2050"/>
      <c r="AQ71" s="2050"/>
      <c r="AR71" s="2050"/>
      <c r="AS71" s="2050"/>
      <c r="AT71" s="2050"/>
      <c r="AU71" s="2051"/>
      <c r="AV71" s="1190"/>
      <c r="AW71" s="1190"/>
      <c r="AX71" s="1190"/>
      <c r="AY71" s="1190"/>
      <c r="AZ71" s="1190"/>
      <c r="BA71" s="1190"/>
      <c r="BB71" s="1190"/>
      <c r="BC71" s="1190"/>
      <c r="BD71" s="1190"/>
      <c r="BE71" s="1194"/>
      <c r="BM71" s="1187" t="s">
        <v>2388</v>
      </c>
    </row>
    <row r="72" spans="1:94" ht="15.75" customHeight="1">
      <c r="A72" s="1190"/>
      <c r="B72" s="1993" t="s">
        <v>2387</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90"/>
      <c r="AC72" s="2076" t="s">
        <v>2386</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90"/>
      <c r="BE72" s="1194"/>
    </row>
    <row r="73" spans="1:94" ht="15.75" customHeight="1">
      <c r="A73" s="1190"/>
      <c r="B73" s="1997" t="s">
        <v>2385</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90"/>
      <c r="AC73" s="2078" t="s">
        <v>2330</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90"/>
      <c r="BE73" s="1194"/>
      <c r="CK73" s="1188"/>
      <c r="CL73" s="1188"/>
      <c r="CM73" s="1188"/>
      <c r="CN73" s="1188"/>
      <c r="CO73" s="1188"/>
      <c r="CP73" s="1188"/>
    </row>
    <row r="74" spans="1:94" ht="15.75" customHeight="1">
      <c r="A74" s="1190"/>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90"/>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90"/>
      <c r="BE74" s="1194"/>
      <c r="CK74" s="1188"/>
      <c r="CL74" s="1188"/>
      <c r="CM74" s="1188"/>
      <c r="CN74" s="1188"/>
      <c r="CO74" s="1188"/>
      <c r="CP74" s="1188"/>
    </row>
    <row r="75" spans="1:94" ht="15.75" customHeight="1" thickBot="1">
      <c r="A75" s="1190"/>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90"/>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60"/>
      <c r="G79" s="2061"/>
      <c r="H79" s="2061"/>
      <c r="I79" s="2061"/>
      <c r="J79" s="2061"/>
      <c r="K79" s="2061"/>
      <c r="L79" s="2061"/>
      <c r="M79" s="2061"/>
      <c r="N79" s="2061"/>
      <c r="O79" s="2061"/>
      <c r="P79" s="2061"/>
      <c r="Q79" s="2061"/>
      <c r="R79" s="2061"/>
      <c r="S79" s="2061"/>
      <c r="T79" s="20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3" t="s">
        <v>2383</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8" t="s">
        <v>2382</v>
      </c>
      <c r="C81" s="2069"/>
      <c r="D81" s="2069"/>
      <c r="E81" s="2069"/>
      <c r="F81" s="2069"/>
      <c r="G81" s="2069"/>
      <c r="H81" s="2069"/>
      <c r="I81" s="2069"/>
      <c r="J81" s="2069"/>
      <c r="K81" s="2069"/>
      <c r="L81" s="2069"/>
      <c r="M81" s="2069"/>
      <c r="N81" s="2069"/>
      <c r="O81" s="2069"/>
      <c r="P81" s="2069"/>
      <c r="Q81" s="2069"/>
      <c r="R81" s="2070" t="s">
        <v>2187</v>
      </c>
      <c r="S81" s="2071"/>
      <c r="T81" s="207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3" t="s">
        <v>2381</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90"/>
      <c r="AJ83" s="2091" t="s">
        <v>2380</v>
      </c>
      <c r="AK83" s="2092"/>
      <c r="AL83" s="2092"/>
      <c r="AM83" s="2092"/>
      <c r="AN83" s="2092"/>
      <c r="AO83" s="2092"/>
      <c r="AP83" s="2092"/>
      <c r="AQ83" s="2092"/>
      <c r="AR83" s="2092"/>
      <c r="AS83" s="2092"/>
      <c r="AT83" s="2092"/>
      <c r="AU83" s="2092"/>
      <c r="AV83" s="2092"/>
      <c r="AW83" s="2092"/>
      <c r="AX83" s="2092"/>
      <c r="AY83" s="2095" t="s">
        <v>545</v>
      </c>
      <c r="AZ83" s="2095"/>
      <c r="BA83" s="2095"/>
      <c r="BB83" s="2096"/>
      <c r="BC83" s="1190"/>
      <c r="BD83" s="1190"/>
      <c r="BE83" s="1194"/>
      <c r="CK83" s="1188"/>
      <c r="CL83" s="1188"/>
      <c r="CM83" s="1188"/>
      <c r="CN83" s="1188"/>
      <c r="CO83" s="1188"/>
      <c r="CP83" s="1188"/>
    </row>
    <row r="84" spans="1:94" ht="15.75" customHeight="1">
      <c r="A84" s="1190"/>
      <c r="B84" s="2012"/>
      <c r="C84" s="2013"/>
      <c r="D84" s="2013"/>
      <c r="E84" s="2013"/>
      <c r="F84" s="2013"/>
      <c r="G84" s="2013"/>
      <c r="H84" s="2013"/>
      <c r="I84" s="2013" t="s">
        <v>2370</v>
      </c>
      <c r="J84" s="2013"/>
      <c r="K84" s="2013"/>
      <c r="L84" s="2013"/>
      <c r="M84" s="2013"/>
      <c r="N84" s="2013"/>
      <c r="O84" s="2013" t="s">
        <v>2346</v>
      </c>
      <c r="P84" s="2013"/>
      <c r="Q84" s="2013"/>
      <c r="R84" s="2013"/>
      <c r="S84" s="2013"/>
      <c r="T84" s="2013"/>
      <c r="U84" s="2013"/>
      <c r="V84" s="2099" t="s">
        <v>2345</v>
      </c>
      <c r="W84" s="2099"/>
      <c r="X84" s="2099"/>
      <c r="Y84" s="2099"/>
      <c r="Z84" s="2099"/>
      <c r="AA84" s="2099"/>
      <c r="AB84" s="2100" t="s">
        <v>2369</v>
      </c>
      <c r="AC84" s="2100"/>
      <c r="AD84" s="2100"/>
      <c r="AE84" s="2100"/>
      <c r="AF84" s="2100"/>
      <c r="AG84" s="2100"/>
      <c r="AH84" s="2101"/>
      <c r="AI84" s="1190"/>
      <c r="AJ84" s="2093"/>
      <c r="AK84" s="2094"/>
      <c r="AL84" s="2094"/>
      <c r="AM84" s="2094"/>
      <c r="AN84" s="2094"/>
      <c r="AO84" s="2094"/>
      <c r="AP84" s="2094"/>
      <c r="AQ84" s="2094"/>
      <c r="AR84" s="2094"/>
      <c r="AS84" s="2094"/>
      <c r="AT84" s="2094"/>
      <c r="AU84" s="2094"/>
      <c r="AV84" s="2094"/>
      <c r="AW84" s="2094"/>
      <c r="AX84" s="2094"/>
      <c r="AY84" s="2097"/>
      <c r="AZ84" s="2097"/>
      <c r="BA84" s="2097"/>
      <c r="BB84" s="2098"/>
      <c r="BC84" s="1190"/>
      <c r="BD84" s="1190"/>
      <c r="BE84" s="1194"/>
      <c r="CK84" s="1188"/>
      <c r="CL84" s="1188"/>
      <c r="CM84" s="1188"/>
      <c r="CN84" s="1188"/>
      <c r="CO84" s="1188"/>
      <c r="CP84" s="1188"/>
    </row>
    <row r="85" spans="1:94" ht="15.75" customHeight="1">
      <c r="A85" s="1190"/>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90"/>
      <c r="AJ85" s="2093"/>
      <c r="AK85" s="2094"/>
      <c r="AL85" s="2094"/>
      <c r="AM85" s="2094"/>
      <c r="AN85" s="2094"/>
      <c r="AO85" s="2094"/>
      <c r="AP85" s="2094"/>
      <c r="AQ85" s="2094"/>
      <c r="AR85" s="2094"/>
      <c r="AS85" s="2094"/>
      <c r="AT85" s="2094"/>
      <c r="AU85" s="2094"/>
      <c r="AV85" s="2094"/>
      <c r="AW85" s="2094"/>
      <c r="AX85" s="2094"/>
      <c r="AY85" s="2097"/>
      <c r="AZ85" s="2097"/>
      <c r="BA85" s="2097"/>
      <c r="BB85" s="2098"/>
      <c r="BC85" s="1190"/>
      <c r="BD85" s="1190"/>
      <c r="BE85" s="1194"/>
      <c r="CK85" s="1188"/>
      <c r="CL85" s="1188"/>
      <c r="CM85" s="1188"/>
      <c r="CN85" s="1188"/>
      <c r="CO85" s="1188"/>
      <c r="CP85" s="1188"/>
    </row>
    <row r="86" spans="1:94" ht="15.75" customHeight="1">
      <c r="A86" s="1190"/>
      <c r="B86" s="2012" t="s">
        <v>2368</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90"/>
      <c r="AJ86" s="2093"/>
      <c r="AK86" s="2094"/>
      <c r="AL86" s="2094"/>
      <c r="AM86" s="2094"/>
      <c r="AN86" s="2094"/>
      <c r="AO86" s="2094"/>
      <c r="AP86" s="2094"/>
      <c r="AQ86" s="2094"/>
      <c r="AR86" s="2094"/>
      <c r="AS86" s="2094"/>
      <c r="AT86" s="2094"/>
      <c r="AU86" s="2094"/>
      <c r="AV86" s="2094"/>
      <c r="AW86" s="2094"/>
      <c r="AX86" s="2094"/>
      <c r="AY86" s="2097"/>
      <c r="AZ86" s="2097"/>
      <c r="BA86" s="2097"/>
      <c r="BB86" s="2098"/>
      <c r="BC86" s="1190"/>
      <c r="BD86" s="1190"/>
      <c r="BE86" s="1194"/>
      <c r="CK86" s="1188"/>
      <c r="CL86" s="1188"/>
      <c r="CM86" s="1188"/>
      <c r="CN86" s="1188"/>
      <c r="CO86" s="1188"/>
      <c r="CP86" s="1188"/>
    </row>
    <row r="87" spans="1:94" ht="15.75" customHeight="1">
      <c r="A87" s="1190"/>
      <c r="B87" s="2012" t="s">
        <v>2367</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90"/>
      <c r="AJ87" s="2078" t="s">
        <v>2374</v>
      </c>
      <c r="AK87" s="2079"/>
      <c r="AL87" s="2079"/>
      <c r="AM87" s="2079"/>
      <c r="AN87" s="2079"/>
      <c r="AO87" s="2079"/>
      <c r="AP87" s="2079"/>
      <c r="AQ87" s="2079"/>
      <c r="AR87" s="2079"/>
      <c r="AS87" s="2079"/>
      <c r="AT87" s="2079"/>
      <c r="AU87" s="2079"/>
      <c r="AV87" s="2079"/>
      <c r="AW87" s="2079"/>
      <c r="AX87" s="2079"/>
      <c r="AY87" s="2079"/>
      <c r="AZ87" s="2079"/>
      <c r="BA87" s="2079"/>
      <c r="BB87" s="2080"/>
      <c r="BC87" s="1190"/>
      <c r="BD87" s="1190"/>
      <c r="BE87" s="1194"/>
      <c r="CK87" s="1188"/>
      <c r="CL87" s="1188"/>
      <c r="CM87" s="1188"/>
      <c r="CN87" s="1188"/>
      <c r="CO87" s="1188"/>
      <c r="CP87" s="1188"/>
    </row>
    <row r="88" spans="1:94" ht="15.75" customHeight="1" thickBot="1">
      <c r="A88" s="1190"/>
      <c r="B88" s="2030" t="s">
        <v>2366</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90"/>
      <c r="AJ88" s="2081"/>
      <c r="AK88" s="2082"/>
      <c r="AL88" s="2082"/>
      <c r="AM88" s="2082"/>
      <c r="AN88" s="2082"/>
      <c r="AO88" s="2082"/>
      <c r="AP88" s="2082"/>
      <c r="AQ88" s="2082"/>
      <c r="AR88" s="2082"/>
      <c r="AS88" s="2082"/>
      <c r="AT88" s="2082"/>
      <c r="AU88" s="2082"/>
      <c r="AV88" s="2082"/>
      <c r="AW88" s="2082"/>
      <c r="AX88" s="2082"/>
      <c r="AY88" s="2082"/>
      <c r="AZ88" s="2082"/>
      <c r="BA88" s="2082"/>
      <c r="BB88" s="208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60"/>
      <c r="G92" s="2061"/>
      <c r="H92" s="2061"/>
      <c r="I92" s="2061"/>
      <c r="J92" s="2061"/>
      <c r="K92" s="2061"/>
      <c r="L92" s="2061"/>
      <c r="M92" s="2061"/>
      <c r="N92" s="2061"/>
      <c r="O92" s="2061"/>
      <c r="P92" s="2061"/>
      <c r="Q92" s="2061"/>
      <c r="R92" s="2061"/>
      <c r="S92" s="2061"/>
      <c r="T92" s="20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3" t="s">
        <v>2378</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8" t="s">
        <v>2377</v>
      </c>
      <c r="C94" s="2069"/>
      <c r="D94" s="2069"/>
      <c r="E94" s="2069"/>
      <c r="F94" s="2069"/>
      <c r="G94" s="2069"/>
      <c r="H94" s="2069"/>
      <c r="I94" s="2069"/>
      <c r="J94" s="2069"/>
      <c r="K94" s="2069"/>
      <c r="L94" s="2069"/>
      <c r="M94" s="2069"/>
      <c r="N94" s="2069"/>
      <c r="O94" s="2069"/>
      <c r="P94" s="2069"/>
      <c r="Q94" s="2103"/>
      <c r="R94" s="2070" t="s">
        <v>2187</v>
      </c>
      <c r="S94" s="2071"/>
      <c r="T94" s="207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3" t="s">
        <v>2376</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90"/>
      <c r="AJ96" s="2091" t="s">
        <v>2375</v>
      </c>
      <c r="AK96" s="2092"/>
      <c r="AL96" s="2092"/>
      <c r="AM96" s="2092"/>
      <c r="AN96" s="2092"/>
      <c r="AO96" s="2092"/>
      <c r="AP96" s="2092"/>
      <c r="AQ96" s="2092"/>
      <c r="AR96" s="2092"/>
      <c r="AS96" s="2092"/>
      <c r="AT96" s="2092"/>
      <c r="AU96" s="2092"/>
      <c r="AV96" s="2092"/>
      <c r="AW96" s="2092"/>
      <c r="AX96" s="2092"/>
      <c r="AY96" s="2095" t="s">
        <v>545</v>
      </c>
      <c r="AZ96" s="2095"/>
      <c r="BA96" s="2095"/>
      <c r="BB96" s="2096"/>
      <c r="BC96" s="1190"/>
      <c r="BD96" s="1190"/>
      <c r="BE96" s="1194"/>
      <c r="BQ96" s="1256" t="str">
        <f>Application!M243&amp;IF(TRIM(Application!AA249)&lt;&gt;""," ("&amp;Application!AA249&amp;")","")</f>
        <v>BOLD Communities</v>
      </c>
      <c r="BR96" s="1259">
        <f>Application!AH246</f>
        <v>2.3999999999999998E-3</v>
      </c>
      <c r="CM96" s="1188"/>
      <c r="CN96" s="1188"/>
      <c r="CO96" s="1188"/>
      <c r="CP96" s="1188"/>
    </row>
    <row r="97" spans="1:94" ht="15.75" customHeight="1">
      <c r="A97" s="1190"/>
      <c r="B97" s="2012"/>
      <c r="C97" s="2013"/>
      <c r="D97" s="2013"/>
      <c r="E97" s="2013"/>
      <c r="F97" s="2013"/>
      <c r="G97" s="2013"/>
      <c r="H97" s="2013"/>
      <c r="I97" s="2013" t="s">
        <v>2370</v>
      </c>
      <c r="J97" s="2013"/>
      <c r="K97" s="2013"/>
      <c r="L97" s="2013"/>
      <c r="M97" s="2013"/>
      <c r="N97" s="2013"/>
      <c r="O97" s="2013" t="s">
        <v>2346</v>
      </c>
      <c r="P97" s="2013"/>
      <c r="Q97" s="2013"/>
      <c r="R97" s="2013"/>
      <c r="S97" s="2013"/>
      <c r="T97" s="2013"/>
      <c r="U97" s="2013"/>
      <c r="V97" s="2099" t="s">
        <v>2345</v>
      </c>
      <c r="W97" s="2099"/>
      <c r="X97" s="2099"/>
      <c r="Y97" s="2099"/>
      <c r="Z97" s="2099"/>
      <c r="AA97" s="2099"/>
      <c r="AB97" s="2100" t="s">
        <v>2369</v>
      </c>
      <c r="AC97" s="2100"/>
      <c r="AD97" s="2100"/>
      <c r="AE97" s="2100"/>
      <c r="AF97" s="2100"/>
      <c r="AG97" s="2100"/>
      <c r="AH97" s="2101"/>
      <c r="AI97" s="1190"/>
      <c r="AJ97" s="2093"/>
      <c r="AK97" s="2094"/>
      <c r="AL97" s="2094"/>
      <c r="AM97" s="2094"/>
      <c r="AN97" s="2094"/>
      <c r="AO97" s="2094"/>
      <c r="AP97" s="2094"/>
      <c r="AQ97" s="2094"/>
      <c r="AR97" s="2094"/>
      <c r="AS97" s="2094"/>
      <c r="AT97" s="2094"/>
      <c r="AU97" s="2094"/>
      <c r="AV97" s="2094"/>
      <c r="AW97" s="2094"/>
      <c r="AX97" s="2094"/>
      <c r="AY97" s="2097"/>
      <c r="AZ97" s="2097"/>
      <c r="BA97" s="2097"/>
      <c r="BB97" s="2098"/>
      <c r="BC97" s="1190"/>
      <c r="BD97" s="1190"/>
      <c r="BE97" s="1194"/>
      <c r="BQ97" s="1256" t="str">
        <f>Application!M251&amp;IF(TRIM(Application!AA257)&lt;&gt;""," ("&amp;Application!AA257&amp;")","")</f>
        <v>Hillcrest Hall AGP LLC (CRP Affordable Housing and Community Development LLC)</v>
      </c>
      <c r="BR97" s="1259">
        <f>Application!AH254</f>
        <v>2.5000000000000001E-3</v>
      </c>
      <c r="CM97" s="1188"/>
      <c r="CN97" s="1188"/>
      <c r="CO97" s="1188"/>
      <c r="CP97" s="1188"/>
    </row>
    <row r="98" spans="1:94" ht="15.75" customHeight="1">
      <c r="A98" s="1190"/>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90"/>
      <c r="AJ98" s="2093"/>
      <c r="AK98" s="2094"/>
      <c r="AL98" s="2094"/>
      <c r="AM98" s="2094"/>
      <c r="AN98" s="2094"/>
      <c r="AO98" s="2094"/>
      <c r="AP98" s="2094"/>
      <c r="AQ98" s="2094"/>
      <c r="AR98" s="2094"/>
      <c r="AS98" s="2094"/>
      <c r="AT98" s="2094"/>
      <c r="AU98" s="2094"/>
      <c r="AV98" s="2094"/>
      <c r="AW98" s="2094"/>
      <c r="AX98" s="2094"/>
      <c r="AY98" s="2097"/>
      <c r="AZ98" s="2097"/>
      <c r="BA98" s="2097"/>
      <c r="BB98" s="2098"/>
      <c r="BC98" s="1190"/>
      <c r="BD98" s="1190"/>
      <c r="BE98" s="1194"/>
      <c r="BQ98" s="1256" t="str">
        <f>Application!M259&amp;IF(TRIM(Application!AA265)&lt;&gt;""," ("&amp;Application!AA265&amp;")","")</f>
        <v>E. Smith &amp; Company, Inc.</v>
      </c>
      <c r="BR98" s="1259">
        <f>Application!AH262</f>
        <v>5.1000000000000004E-3</v>
      </c>
      <c r="CM98" s="1188"/>
      <c r="CN98" s="1188"/>
      <c r="CO98" s="1188"/>
      <c r="CP98" s="1188"/>
    </row>
    <row r="99" spans="1:94" ht="15.75" customHeight="1">
      <c r="A99" s="1190"/>
      <c r="B99" s="2012" t="s">
        <v>2368</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90"/>
      <c r="AJ99" s="2093"/>
      <c r="AK99" s="2094"/>
      <c r="AL99" s="2094"/>
      <c r="AM99" s="2094"/>
      <c r="AN99" s="2094"/>
      <c r="AO99" s="2094"/>
      <c r="AP99" s="2094"/>
      <c r="AQ99" s="2094"/>
      <c r="AR99" s="2094"/>
      <c r="AS99" s="2094"/>
      <c r="AT99" s="2094"/>
      <c r="AU99" s="2094"/>
      <c r="AV99" s="2094"/>
      <c r="AW99" s="2094"/>
      <c r="AX99" s="2094"/>
      <c r="AY99" s="2097"/>
      <c r="AZ99" s="2097"/>
      <c r="BA99" s="2097"/>
      <c r="BB99" s="2098"/>
      <c r="BC99" s="1190"/>
      <c r="BD99" s="1190"/>
      <c r="BE99" s="1194"/>
      <c r="CM99" s="1188"/>
      <c r="CN99" s="1188"/>
      <c r="CO99" s="1188"/>
      <c r="CP99" s="1188"/>
    </row>
    <row r="100" spans="1:94" ht="15.75" customHeight="1">
      <c r="A100" s="1190"/>
      <c r="B100" s="2012" t="s">
        <v>2367</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90"/>
      <c r="AJ100" s="2078" t="s">
        <v>2374</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90"/>
      <c r="BD100" s="1190"/>
      <c r="BE100" s="1194"/>
      <c r="CM100" s="1188"/>
      <c r="CN100" s="1188"/>
      <c r="CO100" s="1188"/>
      <c r="CP100" s="1188"/>
    </row>
    <row r="101" spans="1:94" ht="15.75" customHeight="1" thickBot="1">
      <c r="A101" s="1190"/>
      <c r="B101" s="2030" t="s">
        <v>2366</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90"/>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90"/>
      <c r="BD101" s="1190"/>
      <c r="BE101" s="1194"/>
      <c r="BQ101" s="1256" t="str">
        <f>Application!AA335</f>
        <v>FPI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70" t="str">
        <f>IFERROR(INDEX(BR96:BR98,MATCH(F104,$BQ$96:$BQ$98,0))/SUM($BR$96:$BR$98),"")</f>
        <v/>
      </c>
      <c r="P105" s="2071"/>
      <c r="Q105" s="2071"/>
      <c r="R105" s="207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8" t="s">
        <v>2371</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2"/>
      <c r="C108" s="2013"/>
      <c r="D108" s="2013"/>
      <c r="E108" s="2013"/>
      <c r="F108" s="2013"/>
      <c r="G108" s="2013"/>
      <c r="H108" s="2013"/>
      <c r="I108" s="2013" t="s">
        <v>2370</v>
      </c>
      <c r="J108" s="2013"/>
      <c r="K108" s="2013"/>
      <c r="L108" s="2013"/>
      <c r="M108" s="2013"/>
      <c r="N108" s="2013"/>
      <c r="O108" s="2013" t="s">
        <v>2346</v>
      </c>
      <c r="P108" s="2013"/>
      <c r="Q108" s="2013"/>
      <c r="R108" s="2013"/>
      <c r="S108" s="2013"/>
      <c r="T108" s="2013"/>
      <c r="U108" s="2013"/>
      <c r="V108" s="2099" t="s">
        <v>2345</v>
      </c>
      <c r="W108" s="2099"/>
      <c r="X108" s="2099"/>
      <c r="Y108" s="2099"/>
      <c r="Z108" s="2099"/>
      <c r="AA108" s="2099"/>
      <c r="AB108" s="2100" t="s">
        <v>2369</v>
      </c>
      <c r="AC108" s="2100"/>
      <c r="AD108" s="2100"/>
      <c r="AE108" s="2100"/>
      <c r="AF108" s="2100"/>
      <c r="AG108" s="2100"/>
      <c r="AH108" s="210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2" t="s">
        <v>2368</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2" t="s">
        <v>2367</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0" t="s">
        <v>2366</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8" t="s">
        <v>2364</v>
      </c>
      <c r="C117" s="2119"/>
      <c r="D117" s="2119"/>
      <c r="E117" s="2119"/>
      <c r="F117" s="2119"/>
      <c r="G117" s="2119"/>
      <c r="H117" s="2119"/>
      <c r="I117" s="2119"/>
      <c r="J117" s="2119"/>
      <c r="K117" s="2119"/>
      <c r="L117" s="2119"/>
      <c r="M117" s="2119"/>
      <c r="N117" s="2119"/>
      <c r="O117" s="2119"/>
      <c r="P117" s="2119"/>
      <c r="Q117" s="2119"/>
      <c r="R117" s="2119"/>
      <c r="S117" s="2119"/>
      <c r="T117" s="2119"/>
      <c r="U117" s="2122" t="s">
        <v>545</v>
      </c>
      <c r="V117" s="2122"/>
      <c r="W117" s="2122"/>
      <c r="X117" s="212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6" t="s">
        <v>2364</v>
      </c>
      <c r="C121" s="2127"/>
      <c r="D121" s="2127"/>
      <c r="E121" s="2127"/>
      <c r="F121" s="2127"/>
      <c r="G121" s="2127"/>
      <c r="H121" s="2127"/>
      <c r="I121" s="2127"/>
      <c r="J121" s="2127"/>
      <c r="K121" s="2127"/>
      <c r="L121" s="2127"/>
      <c r="M121" s="2127"/>
      <c r="N121" s="2127"/>
      <c r="O121" s="2127"/>
      <c r="P121" s="2127"/>
      <c r="Q121" s="2127"/>
      <c r="R121" s="2127"/>
      <c r="S121" s="2127"/>
      <c r="T121" s="2127"/>
      <c r="U121" s="2130" t="s">
        <v>545</v>
      </c>
      <c r="V121" s="2130"/>
      <c r="W121" s="2130"/>
      <c r="X121" s="213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1" t="s">
        <v>2362</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4"/>
    </row>
    <row r="126" spans="1:57" ht="15.75" customHeight="1">
      <c r="A126" s="1190"/>
      <c r="B126" s="2136" t="s">
        <v>1575</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4"/>
    </row>
    <row r="127" spans="1:57" ht="15.75" customHeight="1">
      <c r="A127" s="1190"/>
      <c r="B127" s="2154"/>
      <c r="C127" s="2155"/>
      <c r="D127" s="2155"/>
      <c r="E127" s="2155"/>
      <c r="F127" s="2155"/>
      <c r="G127" s="2155"/>
      <c r="H127" s="2155"/>
      <c r="I127" s="2013" t="s">
        <v>2361</v>
      </c>
      <c r="J127" s="2013"/>
      <c r="K127" s="2013"/>
      <c r="L127" s="2013"/>
      <c r="M127" s="2013"/>
      <c r="N127" s="2013"/>
      <c r="O127" s="2110" t="s">
        <v>2360</v>
      </c>
      <c r="P127" s="2110"/>
      <c r="Q127" s="2110"/>
      <c r="R127" s="2110"/>
      <c r="S127" s="2110"/>
      <c r="T127" s="2110"/>
      <c r="U127" s="2111"/>
      <c r="V127" s="1190"/>
      <c r="W127" s="1190"/>
      <c r="X127" s="2078" t="s">
        <v>2330</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4"/>
    </row>
    <row r="128" spans="1:57" ht="15.75" customHeight="1">
      <c r="A128" s="1190"/>
      <c r="B128" s="2112" t="s">
        <v>2344</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90"/>
      <c r="W128" s="1190"/>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4"/>
    </row>
    <row r="129" spans="1:57" ht="15.75" customHeight="1" thickBot="1">
      <c r="A129" s="1190"/>
      <c r="B129" s="2114" t="s">
        <v>2343</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90"/>
      <c r="W129" s="1190"/>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4"/>
    </row>
    <row r="133" spans="1:57" ht="15.75" customHeight="1">
      <c r="A133" s="1190"/>
      <c r="B133" s="1914" t="s">
        <v>2358</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90"/>
      <c r="W133" s="1190"/>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4"/>
    </row>
    <row r="134" spans="1:57" ht="15.75" customHeight="1">
      <c r="A134" s="1190"/>
      <c r="B134" s="2154"/>
      <c r="C134" s="2155"/>
      <c r="D134" s="2155"/>
      <c r="E134" s="2155"/>
      <c r="F134" s="2155"/>
      <c r="G134" s="2155"/>
      <c r="H134" s="2155"/>
      <c r="I134" s="2156" t="s">
        <v>2346</v>
      </c>
      <c r="J134" s="2156"/>
      <c r="K134" s="2156"/>
      <c r="L134" s="2156"/>
      <c r="M134" s="2156"/>
      <c r="N134" s="2156"/>
      <c r="O134" s="2156"/>
      <c r="P134" s="2156" t="s">
        <v>2345</v>
      </c>
      <c r="Q134" s="2156"/>
      <c r="R134" s="2156"/>
      <c r="S134" s="2156"/>
      <c r="T134" s="2156"/>
      <c r="U134" s="2157"/>
      <c r="V134" s="1190"/>
      <c r="W134" s="1190"/>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4"/>
    </row>
    <row r="135" spans="1:57" ht="15.75" customHeight="1">
      <c r="A135" s="1190"/>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0"/>
      <c r="W135" s="1190"/>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4"/>
    </row>
    <row r="136" spans="1:57" ht="15.75" customHeight="1">
      <c r="A136" s="1190"/>
      <c r="B136" s="2112" t="s">
        <v>2344</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90"/>
      <c r="W136" s="1190"/>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4"/>
    </row>
    <row r="137" spans="1:57" ht="15.75" customHeight="1" thickBot="1">
      <c r="A137" s="1190"/>
      <c r="B137" s="2114" t="s">
        <v>2343</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90"/>
      <c r="W137" s="1190"/>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2" t="s">
        <v>2357</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545</v>
      </c>
      <c r="AI139" s="2037"/>
      <c r="AJ139" s="2037"/>
      <c r="AK139" s="2037"/>
      <c r="AL139" s="2037"/>
      <c r="AM139" s="2037"/>
      <c r="AN139" s="2037"/>
      <c r="AO139" s="2037"/>
      <c r="AP139" s="2037"/>
      <c r="AQ139" s="2037"/>
      <c r="AR139" s="2037"/>
      <c r="AS139" s="2037"/>
      <c r="AT139" s="2037"/>
      <c r="AU139" s="2037"/>
      <c r="AV139" s="2037"/>
      <c r="AW139" s="2037"/>
      <c r="AX139" s="2038"/>
      <c r="AY139" s="1190"/>
      <c r="AZ139" s="1190"/>
      <c r="BA139" s="1190"/>
      <c r="BB139" s="1190"/>
      <c r="BC139" s="1190"/>
      <c r="BD139" s="1190"/>
      <c r="BE139" s="1194"/>
    </row>
    <row r="140" spans="1:57" ht="15.75" customHeight="1" thickBot="1">
      <c r="A140" s="1190"/>
      <c r="B140" s="2139" t="s">
        <v>2356</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75" customHeight="1">
      <c r="A141" s="1190"/>
      <c r="B141" s="2139" t="s">
        <v>2355</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545</v>
      </c>
      <c r="AI141" s="2037"/>
      <c r="AJ141" s="2037"/>
      <c r="AK141" s="2037"/>
      <c r="AL141" s="2037"/>
      <c r="AM141" s="2037"/>
      <c r="AN141" s="2037"/>
      <c r="AO141" s="2037"/>
      <c r="AP141" s="2037"/>
      <c r="AQ141" s="2037"/>
      <c r="AR141" s="2037"/>
      <c r="AS141" s="2037"/>
      <c r="AT141" s="2037"/>
      <c r="AU141" s="2037"/>
      <c r="AV141" s="2037"/>
      <c r="AW141" s="2037"/>
      <c r="AX141" s="2038"/>
      <c r="AY141" s="1190"/>
      <c r="AZ141" s="1190"/>
      <c r="BA141" s="1190"/>
      <c r="BB141" s="1190"/>
      <c r="BC141" s="1190"/>
      <c r="BD141" s="1190"/>
      <c r="BE141" s="1194"/>
    </row>
    <row r="142" spans="1:57" ht="15.75" customHeight="1">
      <c r="A142" s="1190"/>
      <c r="B142" s="2142" t="s">
        <v>2354</v>
      </c>
      <c r="C142" s="2143"/>
      <c r="D142" s="2143"/>
      <c r="E142" s="2143"/>
      <c r="F142" s="2143"/>
      <c r="G142" s="2143"/>
      <c r="H142" s="2143"/>
      <c r="I142" s="2143"/>
      <c r="J142" s="2143"/>
      <c r="K142" s="2143"/>
      <c r="L142" s="2143"/>
      <c r="M142" s="2143"/>
      <c r="N142" s="2143"/>
      <c r="O142" s="2143"/>
      <c r="P142" s="2143"/>
      <c r="Q142" s="2143"/>
      <c r="R142" s="2144" t="s">
        <v>2353</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0"/>
      <c r="AZ142" s="1190"/>
      <c r="BA142" s="1190"/>
      <c r="BB142" s="1190"/>
      <c r="BC142" s="1190" t="s">
        <v>250</v>
      </c>
      <c r="BD142" s="1190"/>
      <c r="BE142" s="1194"/>
    </row>
    <row r="143" spans="1:57" ht="15.75" customHeight="1">
      <c r="A143" s="1190"/>
      <c r="B143" s="2146" t="s">
        <v>2352</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0"/>
      <c r="AZ143" s="1190"/>
      <c r="BA143" s="1190"/>
      <c r="BB143" s="1190"/>
      <c r="BC143" s="1190"/>
      <c r="BD143" s="1190"/>
      <c r="BE143" s="1194"/>
    </row>
    <row r="144" spans="1:57" ht="15.75" customHeight="1">
      <c r="A144" s="1190"/>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0"/>
      <c r="AZ144" s="1190"/>
      <c r="BA144" s="1190"/>
      <c r="BB144" s="1190"/>
      <c r="BC144" s="1190"/>
      <c r="BD144" s="1190"/>
      <c r="BE144" s="1194"/>
    </row>
    <row r="145" spans="1:57" ht="15.75" customHeight="1">
      <c r="A145" s="1190"/>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0"/>
      <c r="AZ145" s="1190"/>
      <c r="BA145" s="1190"/>
      <c r="BB145" s="1190"/>
      <c r="BC145" s="1190"/>
      <c r="BD145" s="1190"/>
      <c r="BE145" s="1194"/>
    </row>
    <row r="146" spans="1:57" ht="15.75" customHeight="1">
      <c r="A146" s="1190"/>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0"/>
      <c r="AZ146" s="1190"/>
      <c r="BA146" s="1190"/>
      <c r="BB146" s="1190"/>
      <c r="BC146" s="1190"/>
      <c r="BD146" s="1190"/>
      <c r="BE146" s="1194"/>
    </row>
    <row r="147" spans="1:57" ht="15.75" customHeight="1">
      <c r="A147" s="1190"/>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0"/>
      <c r="AZ147" s="1190"/>
      <c r="BA147" s="1190"/>
      <c r="BB147" s="1190"/>
      <c r="BC147" s="1190"/>
      <c r="BD147" s="1190"/>
      <c r="BE147" s="1194"/>
    </row>
    <row r="148" spans="1:57" ht="15.75" customHeight="1">
      <c r="A148" s="1190"/>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0"/>
      <c r="AZ148" s="1190"/>
      <c r="BA148" s="1190"/>
      <c r="BB148" s="1190"/>
      <c r="BC148" s="1190"/>
      <c r="BD148" s="1190"/>
      <c r="BE148" s="1194"/>
    </row>
    <row r="149" spans="1:57" ht="15.75" customHeight="1">
      <c r="A149" s="1190"/>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0"/>
      <c r="AZ149" s="1190"/>
      <c r="BA149" s="1190"/>
      <c r="BB149" s="1190"/>
      <c r="BC149" s="1190"/>
      <c r="BD149" s="1190"/>
      <c r="BE149" s="1194"/>
    </row>
    <row r="150" spans="1:57" ht="15.75" customHeight="1">
      <c r="A150" s="1190"/>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0"/>
      <c r="AZ150" s="1190"/>
      <c r="BA150" s="1190"/>
      <c r="BB150" s="1190"/>
      <c r="BC150" s="1190"/>
      <c r="BD150" s="1190"/>
      <c r="BE150" s="1194"/>
    </row>
    <row r="151" spans="1:57" ht="15.75" customHeight="1">
      <c r="A151" s="1190"/>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0"/>
      <c r="AZ151" s="1190"/>
      <c r="BA151" s="1190"/>
      <c r="BB151" s="1190"/>
      <c r="BC151" s="1190"/>
      <c r="BD151" s="1190"/>
      <c r="BE151" s="1194"/>
    </row>
    <row r="152" spans="1:57" ht="15.75" customHeight="1" thickBot="1">
      <c r="A152" s="1190"/>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9" t="s">
        <v>2349</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90"/>
      <c r="W156" s="1192"/>
      <c r="X156" s="2009" t="s">
        <v>2348</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4"/>
      <c r="C157" s="2155"/>
      <c r="D157" s="2155"/>
      <c r="E157" s="2155"/>
      <c r="F157" s="2155"/>
      <c r="G157" s="2155"/>
      <c r="H157" s="2155"/>
      <c r="I157" s="2156" t="s">
        <v>2346</v>
      </c>
      <c r="J157" s="2156"/>
      <c r="K157" s="2156"/>
      <c r="L157" s="2156"/>
      <c r="M157" s="2156"/>
      <c r="N157" s="2156"/>
      <c r="O157" s="2156"/>
      <c r="P157" s="2156" t="s">
        <v>2347</v>
      </c>
      <c r="Q157" s="2156"/>
      <c r="R157" s="2156"/>
      <c r="S157" s="2156"/>
      <c r="T157" s="2156"/>
      <c r="U157" s="2157"/>
      <c r="V157" s="1190"/>
      <c r="W157" s="1190"/>
      <c r="X157" s="2154"/>
      <c r="Y157" s="2155"/>
      <c r="Z157" s="2155"/>
      <c r="AA157" s="2155"/>
      <c r="AB157" s="2155"/>
      <c r="AC157" s="2155"/>
      <c r="AD157" s="2155"/>
      <c r="AE157" s="2156" t="s">
        <v>2346</v>
      </c>
      <c r="AF157" s="2156"/>
      <c r="AG157" s="2156"/>
      <c r="AH157" s="2156"/>
      <c r="AI157" s="2156"/>
      <c r="AJ157" s="2156"/>
      <c r="AK157" s="2156"/>
      <c r="AL157" s="2156" t="s">
        <v>2345</v>
      </c>
      <c r="AM157" s="2156"/>
      <c r="AN157" s="2156"/>
      <c r="AO157" s="2156"/>
      <c r="AP157" s="2156"/>
      <c r="AQ157" s="2157"/>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0"/>
      <c r="W158" s="1190"/>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2" t="s">
        <v>2344</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90"/>
      <c r="W159" s="1190"/>
      <c r="X159" s="2114" t="s">
        <v>2344</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4" t="s">
        <v>2343</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9" t="s">
        <v>2342</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4" t="s">
        <v>2327</v>
      </c>
      <c r="D163" s="2155"/>
      <c r="E163" s="2155"/>
      <c r="F163" s="2155"/>
      <c r="G163" s="2155"/>
      <c r="H163" s="2155"/>
      <c r="I163" s="2155"/>
      <c r="J163" s="2155"/>
      <c r="K163" s="2155"/>
      <c r="L163" s="2155"/>
      <c r="M163" s="2155"/>
      <c r="N163" s="2155"/>
      <c r="O163" s="2155"/>
      <c r="P163" s="2155"/>
      <c r="Q163" s="2155" t="s">
        <v>2341</v>
      </c>
      <c r="R163" s="2155"/>
      <c r="S163" s="2155"/>
      <c r="T163" s="2100" t="s">
        <v>2340</v>
      </c>
      <c r="U163" s="2100"/>
      <c r="V163" s="2100"/>
      <c r="W163" s="2100"/>
      <c r="X163" s="2100"/>
      <c r="Y163" s="2100"/>
      <c r="Z163" s="2100"/>
      <c r="AA163" s="2100"/>
      <c r="AB163" s="2155" t="s">
        <v>2339</v>
      </c>
      <c r="AC163" s="2155"/>
      <c r="AD163" s="2155"/>
      <c r="AE163" s="2155"/>
      <c r="AF163" s="2155"/>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8" t="s">
        <v>2338</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8" t="s">
        <v>2337</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8" t="s">
        <v>2336</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8" t="s">
        <v>2335</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8" t="s">
        <v>170</v>
      </c>
      <c r="D168" s="2159"/>
      <c r="E168" s="2159"/>
      <c r="F168" s="2166" t="s">
        <v>2316</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8" t="s">
        <v>170</v>
      </c>
      <c r="D169" s="2159"/>
      <c r="E169" s="2159"/>
      <c r="F169" s="2166" t="s">
        <v>2316</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7" t="s">
        <v>170</v>
      </c>
      <c r="D170" s="2168"/>
      <c r="E170" s="2168"/>
      <c r="F170" s="2169" t="s">
        <v>2316</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8" t="s">
        <v>2334</v>
      </c>
      <c r="D172" s="2059"/>
      <c r="E172" s="2059"/>
      <c r="F172" s="2059"/>
      <c r="G172" s="2059"/>
      <c r="H172" s="2059"/>
      <c r="I172" s="2059"/>
      <c r="J172" s="2059"/>
      <c r="K172" s="2059"/>
      <c r="L172" s="2059"/>
      <c r="M172" s="2059"/>
      <c r="N172" s="2109"/>
      <c r="O172" s="1190"/>
      <c r="P172" s="2174" t="s">
        <v>2333</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4" t="s">
        <v>2332</v>
      </c>
      <c r="D173" s="2155"/>
      <c r="E173" s="2155"/>
      <c r="F173" s="2155"/>
      <c r="G173" s="2155"/>
      <c r="H173" s="2155"/>
      <c r="I173" s="2155" t="s">
        <v>2331</v>
      </c>
      <c r="J173" s="2155"/>
      <c r="K173" s="2155"/>
      <c r="L173" s="2155"/>
      <c r="M173" s="2155"/>
      <c r="N173" s="2163"/>
      <c r="O173" s="1190"/>
      <c r="P173" s="2078" t="s">
        <v>2330</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4"/>
      <c r="D174" s="2016"/>
      <c r="E174" s="2016"/>
      <c r="F174" s="2016"/>
      <c r="G174" s="2016"/>
      <c r="H174" s="2016"/>
      <c r="I174" s="2161"/>
      <c r="J174" s="2161"/>
      <c r="K174" s="2161"/>
      <c r="L174" s="2161"/>
      <c r="M174" s="2161"/>
      <c r="N174" s="2177"/>
      <c r="O174" s="1190"/>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4"/>
      <c r="D175" s="2016"/>
      <c r="E175" s="2016"/>
      <c r="F175" s="2016"/>
      <c r="G175" s="2016"/>
      <c r="H175" s="2016"/>
      <c r="I175" s="2161"/>
      <c r="J175" s="2161"/>
      <c r="K175" s="2161"/>
      <c r="L175" s="2161"/>
      <c r="M175" s="2161"/>
      <c r="N175" s="2177"/>
      <c r="O175" s="1190"/>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4"/>
      <c r="D176" s="2016"/>
      <c r="E176" s="2016"/>
      <c r="F176" s="2016"/>
      <c r="G176" s="2016"/>
      <c r="H176" s="2016"/>
      <c r="I176" s="2161"/>
      <c r="J176" s="2161"/>
      <c r="K176" s="2161"/>
      <c r="L176" s="2161"/>
      <c r="M176" s="2161"/>
      <c r="N176" s="2177"/>
      <c r="O176" s="1190"/>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4"/>
      <c r="D177" s="2016"/>
      <c r="E177" s="2016"/>
      <c r="F177" s="2016"/>
      <c r="G177" s="2016"/>
      <c r="H177" s="2016"/>
      <c r="I177" s="2161"/>
      <c r="J177" s="2161"/>
      <c r="K177" s="2161"/>
      <c r="L177" s="2161"/>
      <c r="M177" s="2161"/>
      <c r="N177" s="2177"/>
      <c r="O177" s="1190"/>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4"/>
      <c r="D178" s="2016"/>
      <c r="E178" s="2016"/>
      <c r="F178" s="2016"/>
      <c r="G178" s="2016"/>
      <c r="H178" s="2016"/>
      <c r="I178" s="2161"/>
      <c r="J178" s="2161"/>
      <c r="K178" s="2161"/>
      <c r="L178" s="2161"/>
      <c r="M178" s="2161"/>
      <c r="N178" s="2177"/>
      <c r="O178" s="1190"/>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4"/>
      <c r="D179" s="2016"/>
      <c r="E179" s="2016"/>
      <c r="F179" s="2016"/>
      <c r="G179" s="2016"/>
      <c r="H179" s="2016"/>
      <c r="I179" s="2161"/>
      <c r="J179" s="2161"/>
      <c r="K179" s="2161"/>
      <c r="L179" s="2161"/>
      <c r="M179" s="2161"/>
      <c r="N179" s="2177"/>
      <c r="O179" s="1190"/>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8"/>
      <c r="D180" s="2179"/>
      <c r="E180" s="2179"/>
      <c r="F180" s="2179"/>
      <c r="G180" s="2179"/>
      <c r="H180" s="2179"/>
      <c r="I180" s="2180"/>
      <c r="J180" s="2180"/>
      <c r="K180" s="2180"/>
      <c r="L180" s="2180"/>
      <c r="M180" s="2180"/>
      <c r="N180" s="2181"/>
      <c r="O180" s="1190"/>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5" t="s">
        <v>2329</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0"/>
      <c r="B184" s="1190"/>
      <c r="C184" s="2058" t="s">
        <v>2327</v>
      </c>
      <c r="D184" s="2059"/>
      <c r="E184" s="2059"/>
      <c r="F184" s="2059"/>
      <c r="G184" s="2059"/>
      <c r="H184" s="2059"/>
      <c r="I184" s="2059"/>
      <c r="J184" s="2059"/>
      <c r="K184" s="2059"/>
      <c r="L184" s="2059"/>
      <c r="M184" s="2059"/>
      <c r="N184" s="2059" t="s">
        <v>2328</v>
      </c>
      <c r="O184" s="2059"/>
      <c r="P184" s="2059"/>
      <c r="Q184" s="2059"/>
      <c r="R184" s="2059"/>
      <c r="S184" s="2059"/>
      <c r="T184" s="2059"/>
      <c r="U184" s="2010" t="s">
        <v>2327</v>
      </c>
      <c r="V184" s="2010"/>
      <c r="W184" s="2010"/>
      <c r="X184" s="2010"/>
      <c r="Y184" s="2010"/>
      <c r="Z184" s="2010"/>
      <c r="AA184" s="2010"/>
      <c r="AB184" s="2010"/>
      <c r="AC184" s="2010"/>
      <c r="AD184" s="2010"/>
      <c r="AE184" s="2011"/>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0"/>
      <c r="B185" s="1190"/>
      <c r="C185" s="2182" t="s">
        <v>2326</v>
      </c>
      <c r="D185" s="2183"/>
      <c r="E185" s="2183"/>
      <c r="F185" s="2183"/>
      <c r="G185" s="2183"/>
      <c r="H185" s="2183"/>
      <c r="I185" s="2183"/>
      <c r="J185" s="2183"/>
      <c r="K185" s="2183"/>
      <c r="L185" s="2183"/>
      <c r="M185" s="2183"/>
      <c r="N185" s="2184">
        <f>'Sources and Uses Budget'!B105</f>
        <v>55969510</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0"/>
      <c r="B186" s="1190"/>
      <c r="C186" s="2182" t="s">
        <v>2325</v>
      </c>
      <c r="D186" s="2183"/>
      <c r="E186" s="2183"/>
      <c r="F186" s="2183"/>
      <c r="G186" s="2183"/>
      <c r="H186" s="2183"/>
      <c r="I186" s="2183"/>
      <c r="J186" s="2183"/>
      <c r="K186" s="2183"/>
      <c r="L186" s="2183"/>
      <c r="M186" s="2183"/>
      <c r="N186" s="2184">
        <f>N185/J29</f>
        <v>571117.44897959183</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0"/>
      <c r="B187" s="1190"/>
      <c r="C187" s="2198" t="s">
        <v>2324</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0"/>
      <c r="B188" s="1190"/>
      <c r="C188" s="2182" t="s">
        <v>2323</v>
      </c>
      <c r="D188" s="2183"/>
      <c r="E188" s="2183"/>
      <c r="F188" s="2183"/>
      <c r="G188" s="2183"/>
      <c r="H188" s="2183"/>
      <c r="I188" s="2183"/>
      <c r="J188" s="2183"/>
      <c r="K188" s="2183"/>
      <c r="L188" s="2183"/>
      <c r="M188" s="2183"/>
      <c r="N188" s="2200">
        <f>SUM('Sources and Uses Budget'!B85:B86)</f>
        <v>2940000</v>
      </c>
      <c r="O188" s="2200"/>
      <c r="P188" s="2200"/>
      <c r="Q188" s="2200"/>
      <c r="R188" s="2200"/>
      <c r="S188" s="2200"/>
      <c r="T188" s="2200"/>
      <c r="U188" s="2028"/>
      <c r="V188" s="2028"/>
      <c r="W188" s="2028"/>
      <c r="X188" s="2028"/>
      <c r="Y188" s="2028"/>
      <c r="Z188" s="2028"/>
      <c r="AA188" s="2028"/>
      <c r="AB188" s="2028"/>
      <c r="AC188" s="2028"/>
      <c r="AD188" s="2028"/>
      <c r="AE188" s="2029"/>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0"/>
      <c r="B189" s="1190"/>
      <c r="C189" s="2182" t="s">
        <v>2322</v>
      </c>
      <c r="D189" s="2183"/>
      <c r="E189" s="2183"/>
      <c r="F189" s="2183"/>
      <c r="G189" s="2183"/>
      <c r="H189" s="2183"/>
      <c r="I189" s="2183"/>
      <c r="J189" s="2183"/>
      <c r="K189" s="2183"/>
      <c r="L189" s="2183"/>
      <c r="M189" s="2183"/>
      <c r="N189" s="2200">
        <f>'Sources and Uses Budget'!B8</f>
        <v>100000</v>
      </c>
      <c r="O189" s="2200"/>
      <c r="P189" s="2200"/>
      <c r="Q189" s="2200"/>
      <c r="R189" s="2200"/>
      <c r="S189" s="2200"/>
      <c r="T189" s="2200"/>
      <c r="U189" s="2028"/>
      <c r="V189" s="2028"/>
      <c r="W189" s="2028"/>
      <c r="X189" s="2028"/>
      <c r="Y189" s="2028"/>
      <c r="Z189" s="2028"/>
      <c r="AA189" s="2028"/>
      <c r="AB189" s="2028"/>
      <c r="AC189" s="2028"/>
      <c r="AD189" s="2028"/>
      <c r="AE189" s="2029"/>
      <c r="AF189" s="1190"/>
      <c r="AG189" s="1190"/>
      <c r="AH189" s="2204" t="s">
        <v>2320</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0"/>
      <c r="B190" s="1190"/>
      <c r="C190" s="2182" t="s">
        <v>2321</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90"/>
      <c r="AG190" s="1190"/>
      <c r="AH190" s="2207" t="s">
        <v>2320</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0"/>
      <c r="B191" s="1190"/>
      <c r="C191" s="2182" t="s">
        <v>2319</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90"/>
      <c r="AG191" s="1190"/>
      <c r="AH191" s="2192" t="s">
        <v>2318</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0"/>
      <c r="B192" s="1190"/>
      <c r="C192" s="2217" t="s">
        <v>300</v>
      </c>
      <c r="D192" s="2160"/>
      <c r="E192" s="2213" t="s">
        <v>2316</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90"/>
      <c r="AG192" s="1190"/>
      <c r="AH192" s="2218" t="s">
        <v>2317</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0"/>
      <c r="B193" s="1190"/>
      <c r="C193" s="2084" t="s">
        <v>300</v>
      </c>
      <c r="D193" s="2016"/>
      <c r="E193" s="2213" t="s">
        <v>2316</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75" customHeight="1" thickBot="1">
      <c r="A194" s="1190"/>
      <c r="B194" s="1190"/>
      <c r="C194" s="2238" t="s">
        <v>300</v>
      </c>
      <c r="D194" s="2239"/>
      <c r="E194" s="2240" t="s">
        <v>2316</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2315</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75" customHeight="1">
      <c r="A195" s="1190"/>
      <c r="B195" s="1190"/>
      <c r="C195" s="2221" t="s">
        <v>2314</v>
      </c>
      <c r="D195" s="2222"/>
      <c r="E195" s="2222"/>
      <c r="F195" s="2222"/>
      <c r="G195" s="2222"/>
      <c r="H195" s="2222"/>
      <c r="I195" s="2222"/>
      <c r="J195" s="2222"/>
      <c r="K195" s="2222"/>
      <c r="L195" s="2222"/>
      <c r="M195" s="2222"/>
      <c r="N195" s="2223">
        <f>SUM(N187:T194)</f>
        <v>3040000</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2313</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0"/>
      <c r="B196" s="1190"/>
      <c r="C196" s="2231" t="s">
        <v>2312</v>
      </c>
      <c r="D196" s="2232"/>
      <c r="E196" s="2232"/>
      <c r="F196" s="2232"/>
      <c r="G196" s="2232"/>
      <c r="H196" s="2232"/>
      <c r="I196" s="2232"/>
      <c r="J196" s="2232"/>
      <c r="K196" s="2232"/>
      <c r="L196" s="2232"/>
      <c r="M196" s="2232"/>
      <c r="N196" s="2233">
        <f>(N185-N195)/J29</f>
        <v>540097.04081632651</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5" t="s">
        <v>2311</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8" t="s">
        <v>2310</v>
      </c>
      <c r="D200" s="2258"/>
      <c r="E200" s="2258"/>
      <c r="F200" s="2258"/>
      <c r="G200" s="2258"/>
      <c r="H200" s="2258"/>
      <c r="I200" s="2258"/>
      <c r="J200" s="2258"/>
      <c r="K200" s="2258"/>
      <c r="L200" s="2258"/>
      <c r="M200" s="2258"/>
      <c r="N200" s="2258"/>
      <c r="O200" s="2259" t="s">
        <v>2309</v>
      </c>
      <c r="P200" s="2259"/>
      <c r="Q200" s="2259"/>
      <c r="R200" s="2259"/>
      <c r="S200" s="2259"/>
      <c r="T200" s="2259"/>
      <c r="U200" s="2259"/>
      <c r="V200" s="2259"/>
      <c r="W200" s="2259"/>
      <c r="X200" s="2259" t="s">
        <v>2308</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0" t="s">
        <v>2307</v>
      </c>
      <c r="D201" s="2250"/>
      <c r="E201" s="2250"/>
      <c r="F201" s="2250"/>
      <c r="G201" s="2250"/>
      <c r="H201" s="2250"/>
      <c r="I201" s="2250"/>
      <c r="J201" s="2250"/>
      <c r="K201" s="2250"/>
      <c r="L201" s="2250"/>
      <c r="M201" s="2250"/>
      <c r="N201" s="2250"/>
      <c r="O201" s="2251" t="s">
        <v>2306</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0" t="s">
        <v>854</v>
      </c>
      <c r="D202" s="2250"/>
      <c r="E202" s="2250"/>
      <c r="F202" s="2250"/>
      <c r="G202" s="2250"/>
      <c r="H202" s="2250"/>
      <c r="I202" s="2250"/>
      <c r="J202" s="2250"/>
      <c r="K202" s="2250"/>
      <c r="L202" s="2250"/>
      <c r="M202" s="2250"/>
      <c r="N202" s="2250"/>
      <c r="O202" s="2251" t="s">
        <v>2306</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0" t="s">
        <v>2305</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2304</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0" t="s">
        <v>2303</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1" t="s">
        <v>2302</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4" t="s">
        <v>2301</v>
      </c>
      <c r="D207" s="2265"/>
      <c r="E207" s="2265"/>
      <c r="F207" s="2266"/>
      <c r="G207" s="2270" t="s">
        <v>2300</v>
      </c>
      <c r="H207" s="2265"/>
      <c r="I207" s="2265"/>
      <c r="J207" s="2265"/>
      <c r="K207" s="2265"/>
      <c r="L207" s="2265"/>
      <c r="M207" s="2265"/>
      <c r="N207" s="2265"/>
      <c r="O207" s="2266"/>
      <c r="P207" s="2272" t="s">
        <v>2299</v>
      </c>
      <c r="Q207" s="2273"/>
      <c r="R207" s="2273"/>
      <c r="S207" s="2273"/>
      <c r="T207" s="2274"/>
      <c r="U207" s="2278" t="s">
        <v>2298</v>
      </c>
      <c r="V207" s="2279"/>
      <c r="W207" s="2279"/>
      <c r="X207" s="2280"/>
      <c r="Y207" s="2278" t="s">
        <v>2297</v>
      </c>
      <c r="Z207" s="2279"/>
      <c r="AA207" s="2279"/>
      <c r="AB207" s="2280"/>
      <c r="AC207" s="2278" t="s">
        <v>2296</v>
      </c>
      <c r="AD207" s="2279"/>
      <c r="AE207" s="2279"/>
      <c r="AF207" s="2280"/>
      <c r="AG207" s="2270" t="s">
        <v>2295</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9">
        <v>1</v>
      </c>
      <c r="D209" s="2290"/>
      <c r="E209" s="2290"/>
      <c r="F209" s="2290"/>
      <c r="G209" s="2291" t="s">
        <v>1883</v>
      </c>
      <c r="H209" s="2291"/>
      <c r="I209" s="2291"/>
      <c r="J209" s="2291"/>
      <c r="K209" s="2291"/>
      <c r="L209" s="2291"/>
      <c r="M209" s="2291"/>
      <c r="N209" s="2291"/>
      <c r="O209" s="2291"/>
      <c r="P209" s="2292"/>
      <c r="Q209" s="2295"/>
      <c r="R209" s="2295"/>
      <c r="S209" s="2295"/>
      <c r="T209" s="2295"/>
      <c r="U209" s="2293" t="s">
        <v>1883</v>
      </c>
      <c r="V209" s="2293"/>
      <c r="W209" s="2293"/>
      <c r="X209" s="2293"/>
      <c r="Y209" s="2293" t="s">
        <v>1883</v>
      </c>
      <c r="Z209" s="2293"/>
      <c r="AA209" s="2293"/>
      <c r="AB209" s="2293"/>
      <c r="AC209" s="2294" t="s">
        <v>1883</v>
      </c>
      <c r="AD209" s="2294"/>
      <c r="AE209" s="2294"/>
      <c r="AF209" s="2294"/>
      <c r="AG209" s="2286"/>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9">
        <v>2</v>
      </c>
      <c r="D210" s="2290"/>
      <c r="E210" s="2290"/>
      <c r="F210" s="2290"/>
      <c r="G210" s="2291" t="s">
        <v>1883</v>
      </c>
      <c r="H210" s="2291"/>
      <c r="I210" s="2291"/>
      <c r="J210" s="2291"/>
      <c r="K210" s="2291"/>
      <c r="L210" s="2291"/>
      <c r="M210" s="2291"/>
      <c r="N210" s="2291"/>
      <c r="O210" s="2291"/>
      <c r="P210" s="2292"/>
      <c r="Q210" s="2292"/>
      <c r="R210" s="2292"/>
      <c r="S210" s="2292"/>
      <c r="T210" s="2292"/>
      <c r="U210" s="2293" t="s">
        <v>1883</v>
      </c>
      <c r="V210" s="2293"/>
      <c r="W210" s="2293"/>
      <c r="X210" s="2293"/>
      <c r="Y210" s="2293" t="s">
        <v>1883</v>
      </c>
      <c r="Z210" s="2293"/>
      <c r="AA210" s="2293"/>
      <c r="AB210" s="2293"/>
      <c r="AC210" s="2294" t="s">
        <v>1883</v>
      </c>
      <c r="AD210" s="2294"/>
      <c r="AE210" s="2294"/>
      <c r="AF210" s="2294"/>
      <c r="AG210" s="2286"/>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9">
        <v>3</v>
      </c>
      <c r="D211" s="2290"/>
      <c r="E211" s="2290"/>
      <c r="F211" s="2290"/>
      <c r="G211" s="2291" t="s">
        <v>1883</v>
      </c>
      <c r="H211" s="2291"/>
      <c r="I211" s="2291"/>
      <c r="J211" s="2291"/>
      <c r="K211" s="2291"/>
      <c r="L211" s="2291"/>
      <c r="M211" s="2291"/>
      <c r="N211" s="2291"/>
      <c r="O211" s="2291"/>
      <c r="P211" s="2292"/>
      <c r="Q211" s="2292"/>
      <c r="R211" s="2292"/>
      <c r="S211" s="2292"/>
      <c r="T211" s="2292"/>
      <c r="U211" s="2293" t="s">
        <v>1883</v>
      </c>
      <c r="V211" s="2293"/>
      <c r="W211" s="2293"/>
      <c r="X211" s="2293"/>
      <c r="Y211" s="2293" t="s">
        <v>1883</v>
      </c>
      <c r="Z211" s="2293"/>
      <c r="AA211" s="2293"/>
      <c r="AB211" s="2293"/>
      <c r="AC211" s="2294" t="s">
        <v>1883</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9">
        <v>4</v>
      </c>
      <c r="D212" s="2290"/>
      <c r="E212" s="2290"/>
      <c r="F212" s="2290"/>
      <c r="G212" s="2291" t="s">
        <v>1883</v>
      </c>
      <c r="H212" s="2291"/>
      <c r="I212" s="2291"/>
      <c r="J212" s="2291"/>
      <c r="K212" s="2291"/>
      <c r="L212" s="2291"/>
      <c r="M212" s="2291"/>
      <c r="N212" s="2291"/>
      <c r="O212" s="2291"/>
      <c r="P212" s="2292"/>
      <c r="Q212" s="2292"/>
      <c r="R212" s="2292"/>
      <c r="S212" s="2292"/>
      <c r="T212" s="2292"/>
      <c r="U212" s="2293" t="s">
        <v>1883</v>
      </c>
      <c r="V212" s="2293"/>
      <c r="W212" s="2293"/>
      <c r="X212" s="2293"/>
      <c r="Y212" s="2293" t="s">
        <v>1883</v>
      </c>
      <c r="Z212" s="2293"/>
      <c r="AA212" s="2293"/>
      <c r="AB212" s="2293"/>
      <c r="AC212" s="2294" t="s">
        <v>1883</v>
      </c>
      <c r="AD212" s="2294"/>
      <c r="AE212" s="2294"/>
      <c r="AF212" s="2294"/>
      <c r="AG212" s="2286"/>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9">
        <v>5</v>
      </c>
      <c r="D213" s="2290"/>
      <c r="E213" s="2290"/>
      <c r="F213" s="2290"/>
      <c r="G213" s="2291" t="s">
        <v>1883</v>
      </c>
      <c r="H213" s="2291"/>
      <c r="I213" s="2291"/>
      <c r="J213" s="2291"/>
      <c r="K213" s="2291"/>
      <c r="L213" s="2291"/>
      <c r="M213" s="2291"/>
      <c r="N213" s="2291"/>
      <c r="O213" s="2291"/>
      <c r="P213" s="2292"/>
      <c r="Q213" s="2292"/>
      <c r="R213" s="2292"/>
      <c r="S213" s="2292"/>
      <c r="T213" s="2292"/>
      <c r="U213" s="2293" t="s">
        <v>1883</v>
      </c>
      <c r="V213" s="2293"/>
      <c r="W213" s="2293"/>
      <c r="X213" s="2293"/>
      <c r="Y213" s="2293" t="s">
        <v>1883</v>
      </c>
      <c r="Z213" s="2293"/>
      <c r="AA213" s="2293"/>
      <c r="AB213" s="2293"/>
      <c r="AC213" s="2294" t="s">
        <v>1883</v>
      </c>
      <c r="AD213" s="2294"/>
      <c r="AE213" s="2294"/>
      <c r="AF213" s="2294"/>
      <c r="AG213" s="2286"/>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9">
        <v>6</v>
      </c>
      <c r="D214" s="2290"/>
      <c r="E214" s="2290"/>
      <c r="F214" s="2290"/>
      <c r="G214" s="2291" t="s">
        <v>1883</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1883</v>
      </c>
      <c r="AD214" s="2294"/>
      <c r="AE214" s="2294"/>
      <c r="AF214" s="2294"/>
      <c r="AG214" s="2286"/>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1883</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8" t="s">
        <v>2294</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6" t="s">
        <v>2292</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7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75" customHeight="1">
      <c r="A223" s="1190"/>
      <c r="B223" s="2302" t="s">
        <v>2291</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75" customHeight="1">
      <c r="A224" s="1190"/>
      <c r="B224" s="2302" t="s">
        <v>2290</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5" t="s">
        <v>2289</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7" t="s">
        <v>2287</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5" t="s">
        <v>2286</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7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7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7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6" t="s">
        <v>2285</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2284</v>
      </c>
      <c r="I239" s="2316"/>
      <c r="J239" s="2316"/>
      <c r="K239" s="2316"/>
      <c r="L239" s="1239"/>
      <c r="M239" s="1239"/>
      <c r="N239" s="1239"/>
      <c r="O239" s="1239"/>
      <c r="P239" s="1239"/>
      <c r="Q239" s="1239"/>
      <c r="R239" s="1239"/>
      <c r="S239" s="2327"/>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6" t="s">
        <v>2283</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6" t="s">
        <v>441</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0" t="s">
        <v>2282</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1" t="s">
        <v>2281</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5" workbookViewId="0">
      <selection activeCell="A84" sqref="A84:BX84"/>
    </sheetView>
  </sheetViews>
  <sheetFormatPr defaultColWidth="0" defaultRowHeight="13" customHeight="1"/>
  <cols>
    <col min="1" max="1" width="1.453125" style="402" customWidth="1"/>
    <col min="2" max="2" width="0.81640625" style="402" customWidth="1"/>
    <col min="3" max="18" width="2.453125" style="402" customWidth="1"/>
    <col min="19" max="19" width="6.36328125" style="402" customWidth="1"/>
    <col min="20" max="39" width="2.6328125" style="402" customWidth="1"/>
    <col min="40" max="40" width="1.453125" style="402" customWidth="1"/>
    <col min="41" max="256" width="2.453125" style="402" hidden="1"/>
    <col min="257" max="257" width="1.453125" style="402" hidden="1" customWidth="1"/>
    <col min="258" max="258" width="0.81640625" style="402" hidden="1" customWidth="1"/>
    <col min="259" max="274" width="2.453125" style="402" hidden="1" customWidth="1"/>
    <col min="275" max="275" width="4" style="402" hidden="1" customWidth="1"/>
    <col min="276" max="295" width="2.453125" style="402" hidden="1" customWidth="1"/>
    <col min="296" max="296" width="1.453125" style="402" hidden="1" customWidth="1"/>
    <col min="297" max="512" width="2.453125" style="402" hidden="1"/>
    <col min="513" max="513" width="1.453125" style="402" hidden="1" customWidth="1"/>
    <col min="514" max="514" width="0.81640625" style="402" hidden="1" customWidth="1"/>
    <col min="515" max="530" width="2.453125" style="402" hidden="1" customWidth="1"/>
    <col min="531" max="531" width="4" style="402" hidden="1" customWidth="1"/>
    <col min="532" max="551" width="2.453125" style="402" hidden="1" customWidth="1"/>
    <col min="552" max="552" width="1.453125" style="402" hidden="1" customWidth="1"/>
    <col min="553" max="768" width="2.453125" style="402" hidden="1"/>
    <col min="769" max="769" width="1.453125" style="402" hidden="1" customWidth="1"/>
    <col min="770" max="770" width="0.81640625" style="402" hidden="1" customWidth="1"/>
    <col min="771" max="786" width="2.453125" style="402" hidden="1" customWidth="1"/>
    <col min="787" max="787" width="4" style="402" hidden="1" customWidth="1"/>
    <col min="788" max="807" width="2.453125" style="402" hidden="1" customWidth="1"/>
    <col min="808" max="808" width="1.453125" style="402" hidden="1" customWidth="1"/>
    <col min="809" max="1024" width="2.453125" style="402" hidden="1"/>
    <col min="1025" max="1025" width="1.453125" style="402" hidden="1" customWidth="1"/>
    <col min="1026" max="1026" width="0.81640625" style="402" hidden="1" customWidth="1"/>
    <col min="1027" max="1042" width="2.453125" style="402" hidden="1" customWidth="1"/>
    <col min="1043" max="1043" width="4" style="402" hidden="1" customWidth="1"/>
    <col min="1044" max="1063" width="2.453125" style="402" hidden="1" customWidth="1"/>
    <col min="1064" max="1064" width="1.453125" style="402" hidden="1" customWidth="1"/>
    <col min="1065" max="1280" width="2.453125" style="402" hidden="1"/>
    <col min="1281" max="1281" width="1.453125" style="402" hidden="1" customWidth="1"/>
    <col min="1282" max="1282" width="0.81640625" style="402" hidden="1" customWidth="1"/>
    <col min="1283" max="1298" width="2.453125" style="402" hidden="1" customWidth="1"/>
    <col min="1299" max="1299" width="4" style="402" hidden="1" customWidth="1"/>
    <col min="1300" max="1319" width="2.453125" style="402" hidden="1" customWidth="1"/>
    <col min="1320" max="1320" width="1.453125" style="402" hidden="1" customWidth="1"/>
    <col min="1321" max="1536" width="2.453125" style="402" hidden="1"/>
    <col min="1537" max="1537" width="1.453125" style="402" hidden="1" customWidth="1"/>
    <col min="1538" max="1538" width="0.81640625" style="402" hidden="1" customWidth="1"/>
    <col min="1539" max="1554" width="2.453125" style="402" hidden="1" customWidth="1"/>
    <col min="1555" max="1555" width="4" style="402" hidden="1" customWidth="1"/>
    <col min="1556" max="1575" width="2.453125" style="402" hidden="1" customWidth="1"/>
    <col min="1576" max="1576" width="1.453125" style="402" hidden="1" customWidth="1"/>
    <col min="1577" max="1792" width="2.453125" style="402" hidden="1"/>
    <col min="1793" max="1793" width="1.453125" style="402" hidden="1" customWidth="1"/>
    <col min="1794" max="1794" width="0.81640625" style="402" hidden="1" customWidth="1"/>
    <col min="1795" max="1810" width="2.453125" style="402" hidden="1" customWidth="1"/>
    <col min="1811" max="1811" width="4" style="402" hidden="1" customWidth="1"/>
    <col min="1812" max="1831" width="2.453125" style="402" hidden="1" customWidth="1"/>
    <col min="1832" max="1832" width="1.453125" style="402" hidden="1" customWidth="1"/>
    <col min="1833" max="2048" width="2.453125" style="402" hidden="1"/>
    <col min="2049" max="2049" width="1.453125" style="402" hidden="1" customWidth="1"/>
    <col min="2050" max="2050" width="0.81640625" style="402" hidden="1" customWidth="1"/>
    <col min="2051" max="2066" width="2.453125" style="402" hidden="1" customWidth="1"/>
    <col min="2067" max="2067" width="4" style="402" hidden="1" customWidth="1"/>
    <col min="2068" max="2087" width="2.453125" style="402" hidden="1" customWidth="1"/>
    <col min="2088" max="2088" width="1.453125" style="402" hidden="1" customWidth="1"/>
    <col min="2089" max="2304" width="2.453125" style="402" hidden="1"/>
    <col min="2305" max="2305" width="1.453125" style="402" hidden="1" customWidth="1"/>
    <col min="2306" max="2306" width="0.81640625" style="402" hidden="1" customWidth="1"/>
    <col min="2307" max="2322" width="2.453125" style="402" hidden="1" customWidth="1"/>
    <col min="2323" max="2323" width="4" style="402" hidden="1" customWidth="1"/>
    <col min="2324" max="2343" width="2.453125" style="402" hidden="1" customWidth="1"/>
    <col min="2344" max="2344" width="1.453125" style="402" hidden="1" customWidth="1"/>
    <col min="2345" max="2560" width="2.453125" style="402" hidden="1"/>
    <col min="2561" max="2561" width="1.453125" style="402" hidden="1" customWidth="1"/>
    <col min="2562" max="2562" width="0.81640625" style="402" hidden="1" customWidth="1"/>
    <col min="2563" max="2578" width="2.453125" style="402" hidden="1" customWidth="1"/>
    <col min="2579" max="2579" width="4" style="402" hidden="1" customWidth="1"/>
    <col min="2580" max="2599" width="2.453125" style="402" hidden="1" customWidth="1"/>
    <col min="2600" max="2600" width="1.453125" style="402" hidden="1" customWidth="1"/>
    <col min="2601" max="2816" width="2.453125" style="402" hidden="1"/>
    <col min="2817" max="2817" width="1.453125" style="402" hidden="1" customWidth="1"/>
    <col min="2818" max="2818" width="0.81640625" style="402" hidden="1" customWidth="1"/>
    <col min="2819" max="2834" width="2.453125" style="402" hidden="1" customWidth="1"/>
    <col min="2835" max="2835" width="4" style="402" hidden="1" customWidth="1"/>
    <col min="2836" max="2855" width="2.453125" style="402" hidden="1" customWidth="1"/>
    <col min="2856" max="2856" width="1.453125" style="402" hidden="1" customWidth="1"/>
    <col min="2857" max="3072" width="2.453125" style="402" hidden="1"/>
    <col min="3073" max="3073" width="1.453125" style="402" hidden="1" customWidth="1"/>
    <col min="3074" max="3074" width="0.81640625" style="402" hidden="1" customWidth="1"/>
    <col min="3075" max="3090" width="2.453125" style="402" hidden="1" customWidth="1"/>
    <col min="3091" max="3091" width="4" style="402" hidden="1" customWidth="1"/>
    <col min="3092" max="3111" width="2.453125" style="402" hidden="1" customWidth="1"/>
    <col min="3112" max="3112" width="1.453125" style="402" hidden="1" customWidth="1"/>
    <col min="3113" max="3328" width="2.453125" style="402" hidden="1"/>
    <col min="3329" max="3329" width="1.453125" style="402" hidden="1" customWidth="1"/>
    <col min="3330" max="3330" width="0.81640625" style="402" hidden="1" customWidth="1"/>
    <col min="3331" max="3346" width="2.453125" style="402" hidden="1" customWidth="1"/>
    <col min="3347" max="3347" width="4" style="402" hidden="1" customWidth="1"/>
    <col min="3348" max="3367" width="2.453125" style="402" hidden="1" customWidth="1"/>
    <col min="3368" max="3368" width="1.453125" style="402" hidden="1" customWidth="1"/>
    <col min="3369" max="3584" width="2.453125" style="402" hidden="1"/>
    <col min="3585" max="3585" width="1.453125" style="402" hidden="1" customWidth="1"/>
    <col min="3586" max="3586" width="0.81640625" style="402" hidden="1" customWidth="1"/>
    <col min="3587" max="3602" width="2.453125" style="402" hidden="1" customWidth="1"/>
    <col min="3603" max="3603" width="4" style="402" hidden="1" customWidth="1"/>
    <col min="3604" max="3623" width="2.453125" style="402" hidden="1" customWidth="1"/>
    <col min="3624" max="3624" width="1.453125" style="402" hidden="1" customWidth="1"/>
    <col min="3625" max="3840" width="2.453125" style="402" hidden="1"/>
    <col min="3841" max="3841" width="1.453125" style="402" hidden="1" customWidth="1"/>
    <col min="3842" max="3842" width="0.81640625" style="402" hidden="1" customWidth="1"/>
    <col min="3843" max="3858" width="2.453125" style="402" hidden="1" customWidth="1"/>
    <col min="3859" max="3859" width="4" style="402" hidden="1" customWidth="1"/>
    <col min="3860" max="3879" width="2.453125" style="402" hidden="1" customWidth="1"/>
    <col min="3880" max="3880" width="1.453125" style="402" hidden="1" customWidth="1"/>
    <col min="3881" max="4096" width="2.453125" style="402" hidden="1"/>
    <col min="4097" max="4097" width="1.453125" style="402" hidden="1" customWidth="1"/>
    <col min="4098" max="4098" width="0.81640625" style="402" hidden="1" customWidth="1"/>
    <col min="4099" max="4114" width="2.453125" style="402" hidden="1" customWidth="1"/>
    <col min="4115" max="4115" width="4" style="402" hidden="1" customWidth="1"/>
    <col min="4116" max="4135" width="2.453125" style="402" hidden="1" customWidth="1"/>
    <col min="4136" max="4136" width="1.453125" style="402" hidden="1" customWidth="1"/>
    <col min="4137" max="4352" width="2.453125" style="402" hidden="1"/>
    <col min="4353" max="4353" width="1.453125" style="402" hidden="1" customWidth="1"/>
    <col min="4354" max="4354" width="0.81640625" style="402" hidden="1" customWidth="1"/>
    <col min="4355" max="4370" width="2.453125" style="402" hidden="1" customWidth="1"/>
    <col min="4371" max="4371" width="4" style="402" hidden="1" customWidth="1"/>
    <col min="4372" max="4391" width="2.453125" style="402" hidden="1" customWidth="1"/>
    <col min="4392" max="4392" width="1.453125" style="402" hidden="1" customWidth="1"/>
    <col min="4393" max="4608" width="2.453125" style="402" hidden="1"/>
    <col min="4609" max="4609" width="1.453125" style="402" hidden="1" customWidth="1"/>
    <col min="4610" max="4610" width="0.81640625" style="402" hidden="1" customWidth="1"/>
    <col min="4611" max="4626" width="2.453125" style="402" hidden="1" customWidth="1"/>
    <col min="4627" max="4627" width="4" style="402" hidden="1" customWidth="1"/>
    <col min="4628" max="4647" width="2.453125" style="402" hidden="1" customWidth="1"/>
    <col min="4648" max="4648" width="1.453125" style="402" hidden="1" customWidth="1"/>
    <col min="4649" max="4864" width="2.453125" style="402" hidden="1"/>
    <col min="4865" max="4865" width="1.453125" style="402" hidden="1" customWidth="1"/>
    <col min="4866" max="4866" width="0.81640625" style="402" hidden="1" customWidth="1"/>
    <col min="4867" max="4882" width="2.453125" style="402" hidden="1" customWidth="1"/>
    <col min="4883" max="4883" width="4" style="402" hidden="1" customWidth="1"/>
    <col min="4884" max="4903" width="2.453125" style="402" hidden="1" customWidth="1"/>
    <col min="4904" max="4904" width="1.453125" style="402" hidden="1" customWidth="1"/>
    <col min="4905" max="5120" width="2.453125" style="402" hidden="1"/>
    <col min="5121" max="5121" width="1.453125" style="402" hidden="1" customWidth="1"/>
    <col min="5122" max="5122" width="0.81640625" style="402" hidden="1" customWidth="1"/>
    <col min="5123" max="5138" width="2.453125" style="402" hidden="1" customWidth="1"/>
    <col min="5139" max="5139" width="4" style="402" hidden="1" customWidth="1"/>
    <col min="5140" max="5159" width="2.453125" style="402" hidden="1" customWidth="1"/>
    <col min="5160" max="5160" width="1.453125" style="402" hidden="1" customWidth="1"/>
    <col min="5161" max="5376" width="2.453125" style="402" hidden="1"/>
    <col min="5377" max="5377" width="1.453125" style="402" hidden="1" customWidth="1"/>
    <col min="5378" max="5378" width="0.81640625" style="402" hidden="1" customWidth="1"/>
    <col min="5379" max="5394" width="2.453125" style="402" hidden="1" customWidth="1"/>
    <col min="5395" max="5395" width="4" style="402" hidden="1" customWidth="1"/>
    <col min="5396" max="5415" width="2.453125" style="402" hidden="1" customWidth="1"/>
    <col min="5416" max="5416" width="1.453125" style="402" hidden="1" customWidth="1"/>
    <col min="5417" max="5632" width="2.453125" style="402" hidden="1"/>
    <col min="5633" max="5633" width="1.453125" style="402" hidden="1" customWidth="1"/>
    <col min="5634" max="5634" width="0.81640625" style="402" hidden="1" customWidth="1"/>
    <col min="5635" max="5650" width="2.453125" style="402" hidden="1" customWidth="1"/>
    <col min="5651" max="5651" width="4" style="402" hidden="1" customWidth="1"/>
    <col min="5652" max="5671" width="2.453125" style="402" hidden="1" customWidth="1"/>
    <col min="5672" max="5672" width="1.453125" style="402" hidden="1" customWidth="1"/>
    <col min="5673" max="5888" width="2.453125" style="402" hidden="1"/>
    <col min="5889" max="5889" width="1.453125" style="402" hidden="1" customWidth="1"/>
    <col min="5890" max="5890" width="0.81640625" style="402" hidden="1" customWidth="1"/>
    <col min="5891" max="5906" width="2.453125" style="402" hidden="1" customWidth="1"/>
    <col min="5907" max="5907" width="4" style="402" hidden="1" customWidth="1"/>
    <col min="5908" max="5927" width="2.453125" style="402" hidden="1" customWidth="1"/>
    <col min="5928" max="5928" width="1.453125" style="402" hidden="1" customWidth="1"/>
    <col min="5929" max="6144" width="2.453125" style="402" hidden="1"/>
    <col min="6145" max="6145" width="1.453125" style="402" hidden="1" customWidth="1"/>
    <col min="6146" max="6146" width="0.81640625" style="402" hidden="1" customWidth="1"/>
    <col min="6147" max="6162" width="2.453125" style="402" hidden="1" customWidth="1"/>
    <col min="6163" max="6163" width="4" style="402" hidden="1" customWidth="1"/>
    <col min="6164" max="6183" width="2.453125" style="402" hidden="1" customWidth="1"/>
    <col min="6184" max="6184" width="1.453125" style="402" hidden="1" customWidth="1"/>
    <col min="6185" max="6400" width="2.453125" style="402" hidden="1"/>
    <col min="6401" max="6401" width="1.453125" style="402" hidden="1" customWidth="1"/>
    <col min="6402" max="6402" width="0.81640625" style="402" hidden="1" customWidth="1"/>
    <col min="6403" max="6418" width="2.453125" style="402" hidden="1" customWidth="1"/>
    <col min="6419" max="6419" width="4" style="402" hidden="1" customWidth="1"/>
    <col min="6420" max="6439" width="2.453125" style="402" hidden="1" customWidth="1"/>
    <col min="6440" max="6440" width="1.453125" style="402" hidden="1" customWidth="1"/>
    <col min="6441" max="6656" width="2.453125" style="402" hidden="1"/>
    <col min="6657" max="6657" width="1.453125" style="402" hidden="1" customWidth="1"/>
    <col min="6658" max="6658" width="0.81640625" style="402" hidden="1" customWidth="1"/>
    <col min="6659" max="6674" width="2.453125" style="402" hidden="1" customWidth="1"/>
    <col min="6675" max="6675" width="4" style="402" hidden="1" customWidth="1"/>
    <col min="6676" max="6695" width="2.453125" style="402" hidden="1" customWidth="1"/>
    <col min="6696" max="6696" width="1.453125" style="402" hidden="1" customWidth="1"/>
    <col min="6697" max="6912" width="2.453125" style="402" hidden="1"/>
    <col min="6913" max="6913" width="1.453125" style="402" hidden="1" customWidth="1"/>
    <col min="6914" max="6914" width="0.81640625" style="402" hidden="1" customWidth="1"/>
    <col min="6915" max="6930" width="2.453125" style="402" hidden="1" customWidth="1"/>
    <col min="6931" max="6931" width="4" style="402" hidden="1" customWidth="1"/>
    <col min="6932" max="6951" width="2.453125" style="402" hidden="1" customWidth="1"/>
    <col min="6952" max="6952" width="1.453125" style="402" hidden="1" customWidth="1"/>
    <col min="6953" max="7168" width="2.453125" style="402" hidden="1"/>
    <col min="7169" max="7169" width="1.453125" style="402" hidden="1" customWidth="1"/>
    <col min="7170" max="7170" width="0.81640625" style="402" hidden="1" customWidth="1"/>
    <col min="7171" max="7186" width="2.453125" style="402" hidden="1" customWidth="1"/>
    <col min="7187" max="7187" width="4" style="402" hidden="1" customWidth="1"/>
    <col min="7188" max="7207" width="2.453125" style="402" hidden="1" customWidth="1"/>
    <col min="7208" max="7208" width="1.453125" style="402" hidden="1" customWidth="1"/>
    <col min="7209" max="7424" width="2.453125" style="402" hidden="1"/>
    <col min="7425" max="7425" width="1.453125" style="402" hidden="1" customWidth="1"/>
    <col min="7426" max="7426" width="0.81640625" style="402" hidden="1" customWidth="1"/>
    <col min="7427" max="7442" width="2.453125" style="402" hidden="1" customWidth="1"/>
    <col min="7443" max="7443" width="4" style="402" hidden="1" customWidth="1"/>
    <col min="7444" max="7463" width="2.453125" style="402" hidden="1" customWidth="1"/>
    <col min="7464" max="7464" width="1.453125" style="402" hidden="1" customWidth="1"/>
    <col min="7465" max="7680" width="2.453125" style="402" hidden="1"/>
    <col min="7681" max="7681" width="1.453125" style="402" hidden="1" customWidth="1"/>
    <col min="7682" max="7682" width="0.81640625" style="402" hidden="1" customWidth="1"/>
    <col min="7683" max="7698" width="2.453125" style="402" hidden="1" customWidth="1"/>
    <col min="7699" max="7699" width="4" style="402" hidden="1" customWidth="1"/>
    <col min="7700" max="7719" width="2.453125" style="402" hidden="1" customWidth="1"/>
    <col min="7720" max="7720" width="1.453125" style="402" hidden="1" customWidth="1"/>
    <col min="7721" max="7936" width="2.453125" style="402" hidden="1"/>
    <col min="7937" max="7937" width="1.453125" style="402" hidden="1" customWidth="1"/>
    <col min="7938" max="7938" width="0.81640625" style="402" hidden="1" customWidth="1"/>
    <col min="7939" max="7954" width="2.453125" style="402" hidden="1" customWidth="1"/>
    <col min="7955" max="7955" width="4" style="402" hidden="1" customWidth="1"/>
    <col min="7956" max="7975" width="2.453125" style="402" hidden="1" customWidth="1"/>
    <col min="7976" max="7976" width="1.453125" style="402" hidden="1" customWidth="1"/>
    <col min="7977" max="8192" width="2.453125" style="402" hidden="1"/>
    <col min="8193" max="8193" width="1.453125" style="402" hidden="1" customWidth="1"/>
    <col min="8194" max="8194" width="0.81640625" style="402" hidden="1" customWidth="1"/>
    <col min="8195" max="8210" width="2.453125" style="402" hidden="1" customWidth="1"/>
    <col min="8211" max="8211" width="4" style="402" hidden="1" customWidth="1"/>
    <col min="8212" max="8231" width="2.453125" style="402" hidden="1" customWidth="1"/>
    <col min="8232" max="8232" width="1.453125" style="402" hidden="1" customWidth="1"/>
    <col min="8233" max="8448" width="2.453125" style="402" hidden="1"/>
    <col min="8449" max="8449" width="1.453125" style="402" hidden="1" customWidth="1"/>
    <col min="8450" max="8450" width="0.81640625" style="402" hidden="1" customWidth="1"/>
    <col min="8451" max="8466" width="2.453125" style="402" hidden="1" customWidth="1"/>
    <col min="8467" max="8467" width="4" style="402" hidden="1" customWidth="1"/>
    <col min="8468" max="8487" width="2.453125" style="402" hidden="1" customWidth="1"/>
    <col min="8488" max="8488" width="1.453125" style="402" hidden="1" customWidth="1"/>
    <col min="8489" max="8704" width="2.453125" style="402" hidden="1"/>
    <col min="8705" max="8705" width="1.453125" style="402" hidden="1" customWidth="1"/>
    <col min="8706" max="8706" width="0.81640625" style="402" hidden="1" customWidth="1"/>
    <col min="8707" max="8722" width="2.453125" style="402" hidden="1" customWidth="1"/>
    <col min="8723" max="8723" width="4" style="402" hidden="1" customWidth="1"/>
    <col min="8724" max="8743" width="2.453125" style="402" hidden="1" customWidth="1"/>
    <col min="8744" max="8744" width="1.453125" style="402" hidden="1" customWidth="1"/>
    <col min="8745" max="8960" width="2.453125" style="402" hidden="1"/>
    <col min="8961" max="8961" width="1.453125" style="402" hidden="1" customWidth="1"/>
    <col min="8962" max="8962" width="0.81640625" style="402" hidden="1" customWidth="1"/>
    <col min="8963" max="8978" width="2.453125" style="402" hidden="1" customWidth="1"/>
    <col min="8979" max="8979" width="4" style="402" hidden="1" customWidth="1"/>
    <col min="8980" max="8999" width="2.453125" style="402" hidden="1" customWidth="1"/>
    <col min="9000" max="9000" width="1.453125" style="402" hidden="1" customWidth="1"/>
    <col min="9001" max="9216" width="2.453125" style="402" hidden="1"/>
    <col min="9217" max="9217" width="1.453125" style="402" hidden="1" customWidth="1"/>
    <col min="9218" max="9218" width="0.81640625" style="402" hidden="1" customWidth="1"/>
    <col min="9219" max="9234" width="2.453125" style="402" hidden="1" customWidth="1"/>
    <col min="9235" max="9235" width="4" style="402" hidden="1" customWidth="1"/>
    <col min="9236" max="9255" width="2.453125" style="402" hidden="1" customWidth="1"/>
    <col min="9256" max="9256" width="1.453125" style="402" hidden="1" customWidth="1"/>
    <col min="9257" max="9472" width="2.453125" style="402" hidden="1"/>
    <col min="9473" max="9473" width="1.453125" style="402" hidden="1" customWidth="1"/>
    <col min="9474" max="9474" width="0.81640625" style="402" hidden="1" customWidth="1"/>
    <col min="9475" max="9490" width="2.453125" style="402" hidden="1" customWidth="1"/>
    <col min="9491" max="9491" width="4" style="402" hidden="1" customWidth="1"/>
    <col min="9492" max="9511" width="2.453125" style="402" hidden="1" customWidth="1"/>
    <col min="9512" max="9512" width="1.453125" style="402" hidden="1" customWidth="1"/>
    <col min="9513" max="9728" width="2.453125" style="402" hidden="1"/>
    <col min="9729" max="9729" width="1.453125" style="402" hidden="1" customWidth="1"/>
    <col min="9730" max="9730" width="0.81640625" style="402" hidden="1" customWidth="1"/>
    <col min="9731" max="9746" width="2.453125" style="402" hidden="1" customWidth="1"/>
    <col min="9747" max="9747" width="4" style="402" hidden="1" customWidth="1"/>
    <col min="9748" max="9767" width="2.453125" style="402" hidden="1" customWidth="1"/>
    <col min="9768" max="9768" width="1.453125" style="402" hidden="1" customWidth="1"/>
    <col min="9769" max="9984" width="2.453125" style="402" hidden="1"/>
    <col min="9985" max="9985" width="1.453125" style="402" hidden="1" customWidth="1"/>
    <col min="9986" max="9986" width="0.81640625" style="402" hidden="1" customWidth="1"/>
    <col min="9987" max="10002" width="2.453125" style="402" hidden="1" customWidth="1"/>
    <col min="10003" max="10003" width="4" style="402" hidden="1" customWidth="1"/>
    <col min="10004" max="10023" width="2.453125" style="402" hidden="1" customWidth="1"/>
    <col min="10024" max="10024" width="1.453125" style="402" hidden="1" customWidth="1"/>
    <col min="10025" max="10240" width="2.453125" style="402" hidden="1"/>
    <col min="10241" max="10241" width="1.453125" style="402" hidden="1" customWidth="1"/>
    <col min="10242" max="10242" width="0.81640625" style="402" hidden="1" customWidth="1"/>
    <col min="10243" max="10258" width="2.453125" style="402" hidden="1" customWidth="1"/>
    <col min="10259" max="10259" width="4" style="402" hidden="1" customWidth="1"/>
    <col min="10260" max="10279" width="2.453125" style="402" hidden="1" customWidth="1"/>
    <col min="10280" max="10280" width="1.453125" style="402" hidden="1" customWidth="1"/>
    <col min="10281" max="10496" width="2.453125" style="402" hidden="1"/>
    <col min="10497" max="10497" width="1.453125" style="402" hidden="1" customWidth="1"/>
    <col min="10498" max="10498" width="0.81640625" style="402" hidden="1" customWidth="1"/>
    <col min="10499" max="10514" width="2.453125" style="402" hidden="1" customWidth="1"/>
    <col min="10515" max="10515" width="4" style="402" hidden="1" customWidth="1"/>
    <col min="10516" max="10535" width="2.453125" style="402" hidden="1" customWidth="1"/>
    <col min="10536" max="10536" width="1.453125" style="402" hidden="1" customWidth="1"/>
    <col min="10537" max="10752" width="2.453125" style="402" hidden="1"/>
    <col min="10753" max="10753" width="1.453125" style="402" hidden="1" customWidth="1"/>
    <col min="10754" max="10754" width="0.81640625" style="402" hidden="1" customWidth="1"/>
    <col min="10755" max="10770" width="2.453125" style="402" hidden="1" customWidth="1"/>
    <col min="10771" max="10771" width="4" style="402" hidden="1" customWidth="1"/>
    <col min="10772" max="10791" width="2.453125" style="402" hidden="1" customWidth="1"/>
    <col min="10792" max="10792" width="1.453125" style="402" hidden="1" customWidth="1"/>
    <col min="10793" max="11008" width="2.453125" style="402" hidden="1"/>
    <col min="11009" max="11009" width="1.453125" style="402" hidden="1" customWidth="1"/>
    <col min="11010" max="11010" width="0.81640625" style="402" hidden="1" customWidth="1"/>
    <col min="11011" max="11026" width="2.453125" style="402" hidden="1" customWidth="1"/>
    <col min="11027" max="11027" width="4" style="402" hidden="1" customWidth="1"/>
    <col min="11028" max="11047" width="2.453125" style="402" hidden="1" customWidth="1"/>
    <col min="11048" max="11048" width="1.453125" style="402" hidden="1" customWidth="1"/>
    <col min="11049" max="11264" width="2.453125" style="402" hidden="1"/>
    <col min="11265" max="11265" width="1.453125" style="402" hidden="1" customWidth="1"/>
    <col min="11266" max="11266" width="0.81640625" style="402" hidden="1" customWidth="1"/>
    <col min="11267" max="11282" width="2.453125" style="402" hidden="1" customWidth="1"/>
    <col min="11283" max="11283" width="4" style="402" hidden="1" customWidth="1"/>
    <col min="11284" max="11303" width="2.453125" style="402" hidden="1" customWidth="1"/>
    <col min="11304" max="11304" width="1.453125" style="402" hidden="1" customWidth="1"/>
    <col min="11305" max="11520" width="2.453125" style="402" hidden="1"/>
    <col min="11521" max="11521" width="1.453125" style="402" hidden="1" customWidth="1"/>
    <col min="11522" max="11522" width="0.81640625" style="402" hidden="1" customWidth="1"/>
    <col min="11523" max="11538" width="2.453125" style="402" hidden="1" customWidth="1"/>
    <col min="11539" max="11539" width="4" style="402" hidden="1" customWidth="1"/>
    <col min="11540" max="11559" width="2.453125" style="402" hidden="1" customWidth="1"/>
    <col min="11560" max="11560" width="1.453125" style="402" hidden="1" customWidth="1"/>
    <col min="11561" max="11776" width="2.453125" style="402" hidden="1"/>
    <col min="11777" max="11777" width="1.453125" style="402" hidden="1" customWidth="1"/>
    <col min="11778" max="11778" width="0.81640625" style="402" hidden="1" customWidth="1"/>
    <col min="11779" max="11794" width="2.453125" style="402" hidden="1" customWidth="1"/>
    <col min="11795" max="11795" width="4" style="402" hidden="1" customWidth="1"/>
    <col min="11796" max="11815" width="2.453125" style="402" hidden="1" customWidth="1"/>
    <col min="11816" max="11816" width="1.453125" style="402" hidden="1" customWidth="1"/>
    <col min="11817" max="12032" width="2.453125" style="402" hidden="1"/>
    <col min="12033" max="12033" width="1.453125" style="402" hidden="1" customWidth="1"/>
    <col min="12034" max="12034" width="0.81640625" style="402" hidden="1" customWidth="1"/>
    <col min="12035" max="12050" width="2.453125" style="402" hidden="1" customWidth="1"/>
    <col min="12051" max="12051" width="4" style="402" hidden="1" customWidth="1"/>
    <col min="12052" max="12071" width="2.453125" style="402" hidden="1" customWidth="1"/>
    <col min="12072" max="12072" width="1.453125" style="402" hidden="1" customWidth="1"/>
    <col min="12073" max="12288" width="2.453125" style="402" hidden="1"/>
    <col min="12289" max="12289" width="1.453125" style="402" hidden="1" customWidth="1"/>
    <col min="12290" max="12290" width="0.81640625" style="402" hidden="1" customWidth="1"/>
    <col min="12291" max="12306" width="2.453125" style="402" hidden="1" customWidth="1"/>
    <col min="12307" max="12307" width="4" style="402" hidden="1" customWidth="1"/>
    <col min="12308" max="12327" width="2.453125" style="402" hidden="1" customWidth="1"/>
    <col min="12328" max="12328" width="1.453125" style="402" hidden="1" customWidth="1"/>
    <col min="12329" max="12544" width="2.453125" style="402" hidden="1"/>
    <col min="12545" max="12545" width="1.453125" style="402" hidden="1" customWidth="1"/>
    <col min="12546" max="12546" width="0.81640625" style="402" hidden="1" customWidth="1"/>
    <col min="12547" max="12562" width="2.453125" style="402" hidden="1" customWidth="1"/>
    <col min="12563" max="12563" width="4" style="402" hidden="1" customWidth="1"/>
    <col min="12564" max="12583" width="2.453125" style="402" hidden="1" customWidth="1"/>
    <col min="12584" max="12584" width="1.453125" style="402" hidden="1" customWidth="1"/>
    <col min="12585" max="12800" width="2.453125" style="402" hidden="1"/>
    <col min="12801" max="12801" width="1.453125" style="402" hidden="1" customWidth="1"/>
    <col min="12802" max="12802" width="0.81640625" style="402" hidden="1" customWidth="1"/>
    <col min="12803" max="12818" width="2.453125" style="402" hidden="1" customWidth="1"/>
    <col min="12819" max="12819" width="4" style="402" hidden="1" customWidth="1"/>
    <col min="12820" max="12839" width="2.453125" style="402" hidden="1" customWidth="1"/>
    <col min="12840" max="12840" width="1.453125" style="402" hidden="1" customWidth="1"/>
    <col min="12841" max="13056" width="2.453125" style="402" hidden="1"/>
    <col min="13057" max="13057" width="1.453125" style="402" hidden="1" customWidth="1"/>
    <col min="13058" max="13058" width="0.81640625" style="402" hidden="1" customWidth="1"/>
    <col min="13059" max="13074" width="2.453125" style="402" hidden="1" customWidth="1"/>
    <col min="13075" max="13075" width="4" style="402" hidden="1" customWidth="1"/>
    <col min="13076" max="13095" width="2.453125" style="402" hidden="1" customWidth="1"/>
    <col min="13096" max="13096" width="1.453125" style="402" hidden="1" customWidth="1"/>
    <col min="13097" max="13312" width="2.453125" style="402" hidden="1"/>
    <col min="13313" max="13313" width="1.453125" style="402" hidden="1" customWidth="1"/>
    <col min="13314" max="13314" width="0.81640625" style="402" hidden="1" customWidth="1"/>
    <col min="13315" max="13330" width="2.453125" style="402" hidden="1" customWidth="1"/>
    <col min="13331" max="13331" width="4" style="402" hidden="1" customWidth="1"/>
    <col min="13332" max="13351" width="2.453125" style="402" hidden="1" customWidth="1"/>
    <col min="13352" max="13352" width="1.453125" style="402" hidden="1" customWidth="1"/>
    <col min="13353" max="13568" width="2.453125" style="402" hidden="1"/>
    <col min="13569" max="13569" width="1.453125" style="402" hidden="1" customWidth="1"/>
    <col min="13570" max="13570" width="0.81640625" style="402" hidden="1" customWidth="1"/>
    <col min="13571" max="13586" width="2.453125" style="402" hidden="1" customWidth="1"/>
    <col min="13587" max="13587" width="4" style="402" hidden="1" customWidth="1"/>
    <col min="13588" max="13607" width="2.453125" style="402" hidden="1" customWidth="1"/>
    <col min="13608" max="13608" width="1.453125" style="402" hidden="1" customWidth="1"/>
    <col min="13609" max="13824" width="2.453125" style="402" hidden="1"/>
    <col min="13825" max="13825" width="1.453125" style="402" hidden="1" customWidth="1"/>
    <col min="13826" max="13826" width="0.81640625" style="402" hidden="1" customWidth="1"/>
    <col min="13827" max="13842" width="2.453125" style="402" hidden="1" customWidth="1"/>
    <col min="13843" max="13843" width="4" style="402" hidden="1" customWidth="1"/>
    <col min="13844" max="13863" width="2.453125" style="402" hidden="1" customWidth="1"/>
    <col min="13864" max="13864" width="1.453125" style="402" hidden="1" customWidth="1"/>
    <col min="13865" max="14080" width="2.453125" style="402" hidden="1"/>
    <col min="14081" max="14081" width="1.453125" style="402" hidden="1" customWidth="1"/>
    <col min="14082" max="14082" width="0.81640625" style="402" hidden="1" customWidth="1"/>
    <col min="14083" max="14098" width="2.453125" style="402" hidden="1" customWidth="1"/>
    <col min="14099" max="14099" width="4" style="402" hidden="1" customWidth="1"/>
    <col min="14100" max="14119" width="2.453125" style="402" hidden="1" customWidth="1"/>
    <col min="14120" max="14120" width="1.453125" style="402" hidden="1" customWidth="1"/>
    <col min="14121" max="14336" width="2.453125" style="402" hidden="1"/>
    <col min="14337" max="14337" width="1.453125" style="402" hidden="1" customWidth="1"/>
    <col min="14338" max="14338" width="0.81640625" style="402" hidden="1" customWidth="1"/>
    <col min="14339" max="14354" width="2.453125" style="402" hidden="1" customWidth="1"/>
    <col min="14355" max="14355" width="4" style="402" hidden="1" customWidth="1"/>
    <col min="14356" max="14375" width="2.453125" style="402" hidden="1" customWidth="1"/>
    <col min="14376" max="14376" width="1.453125" style="402" hidden="1" customWidth="1"/>
    <col min="14377" max="14592" width="2.453125" style="402" hidden="1"/>
    <col min="14593" max="14593" width="1.453125" style="402" hidden="1" customWidth="1"/>
    <col min="14594" max="14594" width="0.81640625" style="402" hidden="1" customWidth="1"/>
    <col min="14595" max="14610" width="2.453125" style="402" hidden="1" customWidth="1"/>
    <col min="14611" max="14611" width="4" style="402" hidden="1" customWidth="1"/>
    <col min="14612" max="14631" width="2.453125" style="402" hidden="1" customWidth="1"/>
    <col min="14632" max="14632" width="1.453125" style="402" hidden="1" customWidth="1"/>
    <col min="14633" max="14848" width="2.453125" style="402" hidden="1"/>
    <col min="14849" max="14849" width="1.453125" style="402" hidden="1" customWidth="1"/>
    <col min="14850" max="14850" width="0.81640625" style="402" hidden="1" customWidth="1"/>
    <col min="14851" max="14866" width="2.453125" style="402" hidden="1" customWidth="1"/>
    <col min="14867" max="14867" width="4" style="402" hidden="1" customWidth="1"/>
    <col min="14868" max="14887" width="2.453125" style="402" hidden="1" customWidth="1"/>
    <col min="14888" max="14888" width="1.453125" style="402" hidden="1" customWidth="1"/>
    <col min="14889" max="15104" width="2.453125" style="402" hidden="1"/>
    <col min="15105" max="15105" width="1.453125" style="402" hidden="1" customWidth="1"/>
    <col min="15106" max="15106" width="0.81640625" style="402" hidden="1" customWidth="1"/>
    <col min="15107" max="15122" width="2.453125" style="402" hidden="1" customWidth="1"/>
    <col min="15123" max="15123" width="4" style="402" hidden="1" customWidth="1"/>
    <col min="15124" max="15143" width="2.453125" style="402" hidden="1" customWidth="1"/>
    <col min="15144" max="15144" width="1.453125" style="402" hidden="1" customWidth="1"/>
    <col min="15145" max="15360" width="2.453125" style="402" hidden="1"/>
    <col min="15361" max="15361" width="1.453125" style="402" hidden="1" customWidth="1"/>
    <col min="15362" max="15362" width="0.81640625" style="402" hidden="1" customWidth="1"/>
    <col min="15363" max="15378" width="2.453125" style="402" hidden="1" customWidth="1"/>
    <col min="15379" max="15379" width="4" style="402" hidden="1" customWidth="1"/>
    <col min="15380" max="15399" width="2.453125" style="402" hidden="1" customWidth="1"/>
    <col min="15400" max="15400" width="1.453125" style="402" hidden="1" customWidth="1"/>
    <col min="15401" max="15616" width="2.453125" style="402" hidden="1"/>
    <col min="15617" max="15617" width="1.453125" style="402" hidden="1" customWidth="1"/>
    <col min="15618" max="15618" width="0.81640625" style="402" hidden="1" customWidth="1"/>
    <col min="15619" max="15634" width="2.453125" style="402" hidden="1" customWidth="1"/>
    <col min="15635" max="15635" width="4" style="402" hidden="1" customWidth="1"/>
    <col min="15636" max="15655" width="2.453125" style="402" hidden="1" customWidth="1"/>
    <col min="15656" max="15656" width="1.453125" style="402" hidden="1" customWidth="1"/>
    <col min="15657" max="15872" width="2.453125" style="402" hidden="1"/>
    <col min="15873" max="15873" width="1.453125" style="402" hidden="1" customWidth="1"/>
    <col min="15874" max="15874" width="0.81640625" style="402" hidden="1" customWidth="1"/>
    <col min="15875" max="15890" width="2.453125" style="402" hidden="1" customWidth="1"/>
    <col min="15891" max="15891" width="4" style="402" hidden="1" customWidth="1"/>
    <col min="15892" max="15911" width="2.453125" style="402" hidden="1" customWidth="1"/>
    <col min="15912" max="15912" width="1.453125" style="402" hidden="1" customWidth="1"/>
    <col min="15913" max="16128" width="2.453125" style="402" hidden="1"/>
    <col min="16129" max="16129" width="1.453125" style="402" hidden="1" customWidth="1"/>
    <col min="16130" max="16130" width="0.81640625" style="402" hidden="1" customWidth="1"/>
    <col min="16131" max="16146" width="2.453125" style="402" hidden="1" customWidth="1"/>
    <col min="16147" max="16147" width="4" style="402" hidden="1" customWidth="1"/>
    <col min="16148" max="16167" width="2.453125" style="402" hidden="1" customWidth="1"/>
    <col min="16168" max="16168" width="1.453125" style="402" hidden="1" customWidth="1"/>
    <col min="16169" max="16384" width="2.453125" style="402" hidden="1"/>
  </cols>
  <sheetData>
    <row r="1" spans="1:40" ht="13" customHeight="1">
      <c r="A1" s="2361" t="s">
        <v>1279</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3"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3"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3"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3"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3" customHeight="1">
      <c r="B11" s="2342" t="s">
        <v>375</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52183811</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3" customHeight="1">
      <c r="B12" s="2357" t="s">
        <v>497</v>
      </c>
      <c r="C12" s="1288"/>
      <c r="D12" s="1288"/>
      <c r="E12" s="1288"/>
      <c r="F12" s="1288"/>
      <c r="G12" s="1288"/>
      <c r="H12" s="1288"/>
      <c r="I12" s="1288"/>
      <c r="J12" s="1288"/>
      <c r="K12" s="1288"/>
      <c r="L12" s="1288"/>
      <c r="M12" s="1288"/>
      <c r="N12" s="1288"/>
      <c r="O12" s="1288"/>
      <c r="P12" s="1288"/>
      <c r="Q12" s="1288"/>
      <c r="R12" s="1288"/>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3" customHeight="1">
      <c r="B13" s="435"/>
      <c r="C13" s="2359" t="s">
        <v>498</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3" customHeight="1">
      <c r="B14" s="435"/>
      <c r="C14" s="2359" t="s">
        <v>499</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3" customHeight="1">
      <c r="B15" s="435"/>
      <c r="C15" s="2359" t="s">
        <v>500</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3" customHeight="1">
      <c r="B16" s="435"/>
      <c r="C16" s="2359" t="s">
        <v>805</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3" customHeight="1">
      <c r="B17" s="435"/>
      <c r="C17" s="2359" t="s">
        <v>501</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3" customHeight="1">
      <c r="A18"/>
      <c r="B18" s="1150"/>
      <c r="C18" s="1814" t="s">
        <v>960</v>
      </c>
      <c r="D18" s="1814"/>
      <c r="E18" s="1814"/>
      <c r="F18" s="1814"/>
      <c r="G18" s="1814"/>
      <c r="H18" s="1814"/>
      <c r="I18" s="1814"/>
      <c r="J18" s="1814"/>
      <c r="K18" s="1814"/>
      <c r="L18" s="1814"/>
      <c r="M18" s="1814"/>
      <c r="N18" s="1814"/>
      <c r="O18" s="1814"/>
      <c r="P18" s="1814"/>
      <c r="Q18" s="1814"/>
      <c r="R18" s="1814"/>
      <c r="S18" s="1815"/>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3" customHeight="1">
      <c r="B19" s="1150"/>
      <c r="C19" s="1814" t="s">
        <v>960</v>
      </c>
      <c r="D19" s="1814"/>
      <c r="E19" s="1814"/>
      <c r="F19" s="1814"/>
      <c r="G19" s="1814"/>
      <c r="H19" s="1814"/>
      <c r="I19" s="1814"/>
      <c r="J19" s="1814"/>
      <c r="K19" s="1814"/>
      <c r="L19" s="1814"/>
      <c r="M19" s="1814"/>
      <c r="N19" s="1814"/>
      <c r="O19" s="1814"/>
      <c r="P19" s="1814"/>
      <c r="Q19" s="1814"/>
      <c r="R19" s="1814"/>
      <c r="S19" s="1815"/>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3" customHeight="1">
      <c r="B20" s="2342" t="s">
        <v>502</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3" customHeight="1">
      <c r="B21" s="2342" t="s">
        <v>1262</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3" customHeight="1">
      <c r="B22" s="2342" t="s">
        <v>503</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3" customHeight="1">
      <c r="B23" s="2342" t="s">
        <v>504</v>
      </c>
      <c r="C23" s="2343"/>
      <c r="D23" s="2343"/>
      <c r="E23" s="2343"/>
      <c r="F23" s="2343"/>
      <c r="G23" s="2343"/>
      <c r="H23" s="2343"/>
      <c r="I23" s="2343"/>
      <c r="J23" s="2343"/>
      <c r="K23" s="2343"/>
      <c r="L23" s="2343"/>
      <c r="M23" s="2343"/>
      <c r="N23" s="2343"/>
      <c r="O23" s="2343"/>
      <c r="P23" s="2343"/>
      <c r="Q23" s="2343"/>
      <c r="R23" s="2343"/>
      <c r="S23" s="2344"/>
      <c r="T23" s="2335">
        <f>T11+T22</f>
        <v>52183811</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3" customHeight="1">
      <c r="B24" s="2342" t="s">
        <v>961</v>
      </c>
      <c r="C24" s="2343"/>
      <c r="D24" s="2343"/>
      <c r="E24" s="2343"/>
      <c r="F24" s="2343"/>
      <c r="G24" s="2343"/>
      <c r="H24" s="2343"/>
      <c r="I24" s="2343"/>
      <c r="J24" s="2343"/>
      <c r="K24" s="2343"/>
      <c r="L24" s="2343"/>
      <c r="M24" s="2343"/>
      <c r="N24" s="2343"/>
      <c r="O24" s="2343"/>
      <c r="P24" s="2343"/>
      <c r="Q24" s="2343"/>
      <c r="R24" s="2343"/>
      <c r="S24" s="2344"/>
      <c r="T24" s="2337">
        <f>Application!AJ1053</f>
        <v>87016835.349999994</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3" customHeight="1">
      <c r="B25" s="2346" t="s">
        <v>1263</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3" customHeight="1">
      <c r="B26" s="2342" t="s">
        <v>505</v>
      </c>
      <c r="C26" s="2343"/>
      <c r="D26" s="2343"/>
      <c r="E26" s="2343"/>
      <c r="F26" s="2343"/>
      <c r="G26" s="2343"/>
      <c r="H26" s="2343"/>
      <c r="I26" s="2343"/>
      <c r="J26" s="2343"/>
      <c r="K26" s="2343"/>
      <c r="L26" s="2343"/>
      <c r="M26" s="2343"/>
      <c r="N26" s="2343"/>
      <c r="O26" s="2343"/>
      <c r="P26" s="2343"/>
      <c r="Q26" s="2343"/>
      <c r="R26" s="2343"/>
      <c r="S26" s="2344"/>
      <c r="T26" s="2335">
        <f>T23*T25</f>
        <v>67838954.299999997</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3" customHeight="1">
      <c r="A27" s="410"/>
      <c r="B27" s="2349" t="s">
        <v>426</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3"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35">
        <f>IF(ISERROR((T26*T27)),0,(T26*T27))</f>
        <v>67838954.299999997</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3" customHeight="1">
      <c r="B29" s="2342" t="s">
        <v>523</v>
      </c>
      <c r="C29" s="2343"/>
      <c r="D29" s="2343"/>
      <c r="E29" s="2343"/>
      <c r="F29" s="2343"/>
      <c r="G29" s="2343"/>
      <c r="H29" s="2343"/>
      <c r="I29" s="2343"/>
      <c r="J29" s="2343"/>
      <c r="K29" s="2343"/>
      <c r="L29" s="2343"/>
      <c r="M29" s="2343"/>
      <c r="N29" s="2343"/>
      <c r="O29" s="2343"/>
      <c r="P29" s="2343"/>
      <c r="Q29" s="2343"/>
      <c r="R29" s="2343"/>
      <c r="S29" s="2344"/>
      <c r="T29" s="2337">
        <f>T28+Y28+AD28+AI28</f>
        <v>67838954.299999997</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3" customHeight="1">
      <c r="B30" s="2345" t="s">
        <v>1265</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3" customHeight="1">
      <c r="B31" s="2345" t="s">
        <v>1264</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1153</v>
      </c>
      <c r="Z35" s="2363"/>
      <c r="AA35" s="2363"/>
      <c r="AB35" s="2363"/>
      <c r="AC35" s="2363"/>
      <c r="AD35" s="2383" t="s">
        <v>369</v>
      </c>
      <c r="AE35" s="2383"/>
      <c r="AF35" s="2383"/>
      <c r="AG35" s="2383"/>
      <c r="AH35" s="2383"/>
    </row>
    <row r="36" spans="1:76" ht="13" customHeight="1">
      <c r="B36" s="407"/>
      <c r="X36" s="412"/>
      <c r="Y36" s="2363"/>
      <c r="Z36" s="2363"/>
      <c r="AA36" s="2363"/>
      <c r="AB36" s="2363"/>
      <c r="AC36" s="2363"/>
      <c r="AD36" s="2383"/>
      <c r="AE36" s="2383"/>
      <c r="AF36" s="2383"/>
      <c r="AG36" s="2383"/>
      <c r="AH36" s="2383"/>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3"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67838954.299999997</v>
      </c>
      <c r="Z38" s="2336"/>
      <c r="AA38" s="2336"/>
      <c r="AB38" s="2336"/>
      <c r="AC38" s="2336"/>
      <c r="AD38" s="2336">
        <f>IF(T24&gt;=(T23+Y23+AD23+AI23),AD28+AI28,0)</f>
        <v>0</v>
      </c>
      <c r="AE38" s="2336"/>
      <c r="AF38" s="2336"/>
      <c r="AG38" s="2336"/>
      <c r="AH38" s="2336"/>
    </row>
    <row r="39" spans="1:76" ht="13" customHeight="1">
      <c r="B39" s="2342" t="s">
        <v>1689</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3"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2713558</v>
      </c>
      <c r="Z40" s="2336"/>
      <c r="AA40" s="2336"/>
      <c r="AB40" s="2336"/>
      <c r="AC40" s="2336"/>
      <c r="AD40" s="2335">
        <f>ROUND(AD38*AD39,0)</f>
        <v>0</v>
      </c>
      <c r="AE40" s="2336"/>
      <c r="AF40" s="2336"/>
      <c r="AG40" s="2336"/>
      <c r="AH40" s="2336"/>
    </row>
    <row r="41" spans="1:76" ht="13"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2713558</v>
      </c>
      <c r="Z41" s="2338"/>
      <c r="AA41" s="2338"/>
      <c r="AB41" s="2338"/>
      <c r="AC41" s="2338"/>
      <c r="AD41" s="2338"/>
      <c r="AE41" s="2338"/>
      <c r="AF41" s="2338"/>
      <c r="AG41" s="2338"/>
      <c r="AH41" s="2335"/>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0" t="s">
        <v>1275</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3" customHeight="1" thickTop="1"/>
    <row r="46" spans="1:76" ht="13" customHeight="1">
      <c r="A46" s="404" t="s">
        <v>586</v>
      </c>
      <c r="C46" s="404" t="s">
        <v>282</v>
      </c>
    </row>
    <row r="47" spans="1:76" ht="13" customHeight="1">
      <c r="D47" s="404" t="s">
        <v>283</v>
      </c>
      <c r="AB47" s="2352">
        <f>'Sources and Uses Budget'!B105-MAX(IF('Sources and Uses Budget'!B15="",0,'Sources and Uses Budget'!B15),IF(Application!AG394="",0,Application!AG394))</f>
        <v>55969510</v>
      </c>
      <c r="AC47" s="2353"/>
      <c r="AD47" s="2353"/>
      <c r="AE47" s="2353"/>
      <c r="AF47" s="2354"/>
    </row>
    <row r="48" spans="1:76" ht="13" customHeight="1">
      <c r="D48" s="404" t="s">
        <v>21</v>
      </c>
      <c r="AB48" s="2352">
        <f>Application!AO639-MAX(IF('Sources and Uses Budget'!B15="",0,'Sources and Uses Budget'!B15),IF(Application!AG394="",0,Application!AG394))</f>
        <v>23551887</v>
      </c>
      <c r="AC48" s="2353"/>
      <c r="AD48" s="2353"/>
      <c r="AE48" s="2353"/>
      <c r="AF48" s="2354"/>
    </row>
    <row r="49" spans="1:76" ht="13" customHeight="1">
      <c r="D49" s="404" t="s">
        <v>91</v>
      </c>
      <c r="AB49" s="2352">
        <f>AB47-AB48</f>
        <v>32417623</v>
      </c>
      <c r="AC49" s="2353"/>
      <c r="AD49" s="2353"/>
      <c r="AE49" s="2353"/>
      <c r="AF49" s="2354"/>
    </row>
    <row r="50" spans="1:76" ht="13" customHeight="1">
      <c r="D50" s="404" t="s">
        <v>681</v>
      </c>
      <c r="AA50" s="415"/>
      <c r="AB50" s="2379">
        <v>0.80991904999999997</v>
      </c>
      <c r="AC50" s="2380"/>
      <c r="AD50" s="2380"/>
      <c r="AE50" s="2380"/>
      <c r="AF50" s="2381"/>
    </row>
    <row r="51" spans="1:76" s="417" customFormat="1" ht="13" customHeight="1">
      <c r="A51" s="402"/>
      <c r="B51" s="402"/>
      <c r="C51" s="402"/>
      <c r="D51" s="402"/>
      <c r="E51" s="2382" t="s">
        <v>1848</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52">
        <f>ROUND(IF(ISERROR((AB49/AB50)),0,(AB49/AB50)),0)</f>
        <v>40025757</v>
      </c>
      <c r="AC54" s="2353"/>
      <c r="AD54" s="2353"/>
      <c r="AE54" s="2353"/>
      <c r="AF54" s="2354"/>
    </row>
    <row r="55" spans="1:76" ht="13" customHeight="1">
      <c r="D55" s="404" t="s">
        <v>333</v>
      </c>
      <c r="AB55" s="2352">
        <f>(AB54/10)</f>
        <v>4002575.7</v>
      </c>
      <c r="AC55" s="2353"/>
      <c r="AD55" s="2353"/>
      <c r="AE55" s="2353"/>
      <c r="AF55" s="2354"/>
    </row>
    <row r="56" spans="1:76" ht="13" customHeight="1">
      <c r="D56" s="404" t="s">
        <v>756</v>
      </c>
      <c r="AB56" s="2352">
        <f>ROUND((IF((Y41&lt;AB55),Y41,AB55)),0)</f>
        <v>2713558</v>
      </c>
      <c r="AC56" s="2353"/>
      <c r="AD56" s="2353"/>
      <c r="AE56" s="2353"/>
      <c r="AF56" s="2354"/>
    </row>
    <row r="57" spans="1:76" ht="13" customHeight="1">
      <c r="D57" s="404" t="s">
        <v>755</v>
      </c>
      <c r="AB57" s="2352">
        <f>ROUND((10*AB56*AB50),0)</f>
        <v>21977623</v>
      </c>
      <c r="AC57" s="2353"/>
      <c r="AD57" s="2353"/>
      <c r="AE57" s="2353"/>
      <c r="AF57" s="2354"/>
    </row>
    <row r="58" spans="1:76" ht="13" customHeight="1">
      <c r="D58" s="404"/>
      <c r="AB58" s="423"/>
      <c r="AC58" s="423"/>
      <c r="AD58" s="423"/>
      <c r="AE58" s="423"/>
      <c r="AF58" s="423"/>
    </row>
    <row r="59" spans="1:76" ht="13" customHeight="1">
      <c r="D59" s="404" t="s">
        <v>754</v>
      </c>
      <c r="AB59" s="2375">
        <f>AB49-AB57</f>
        <v>10440000</v>
      </c>
      <c r="AC59" s="2375"/>
      <c r="AD59" s="2375"/>
      <c r="AE59" s="2375"/>
      <c r="AF59" s="2375"/>
    </row>
    <row r="60" spans="1:76" ht="13" customHeight="1">
      <c r="D60" s="404"/>
      <c r="AB60" s="423"/>
      <c r="AC60" s="423"/>
      <c r="AD60" s="423"/>
      <c r="AE60" s="423"/>
      <c r="AF60" s="423"/>
    </row>
    <row r="61" spans="1:76" s="204" customFormat="1" ht="13"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3" customHeight="1" thickTop="1"/>
    <row r="63" spans="1:76" ht="13" customHeight="1">
      <c r="A63" s="404" t="s">
        <v>589</v>
      </c>
      <c r="C63" s="205" t="s">
        <v>1247</v>
      </c>
      <c r="Y63" s="2376" t="s">
        <v>983</v>
      </c>
      <c r="Z63" s="2376"/>
      <c r="AA63" s="2376"/>
      <c r="AB63" s="2376"/>
      <c r="AC63" s="2376"/>
      <c r="AD63" s="2376" t="s">
        <v>369</v>
      </c>
      <c r="AE63" s="2376"/>
      <c r="AF63" s="2376"/>
      <c r="AG63" s="2376"/>
      <c r="AH63" s="2376"/>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52183811</v>
      </c>
      <c r="Z64" s="2377"/>
      <c r="AA64" s="2377"/>
      <c r="AB64" s="2377"/>
      <c r="AC64" s="2378"/>
      <c r="AD64" s="2337">
        <f>IF(AND(OR(Application!D211="At-Risk",Application!D211="At-Risk and Special Needs"),Application!M358="yes"),AD28+AI28,0)</f>
        <v>0</v>
      </c>
      <c r="AE64" s="2377"/>
      <c r="AF64" s="2377"/>
      <c r="AG64" s="2377"/>
      <c r="AH64" s="2378"/>
    </row>
    <row r="65" spans="1:36" ht="13"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0" cm="1">
        <f t="array" ref="Y67">_xlfn.IFS(OR(Application!Z205="State Farmworker Credit",Application!Z205="$500M (Farmworker Housing)"),0.75,Application!Z205="15% set-aside",0.13,Application!Z205="15% set-aside with qualifying low value rehab",0.95,Application!Z205="$500M",0.3,TRUE,0)</f>
        <v>0.3</v>
      </c>
      <c r="Z67" s="2390"/>
      <c r="AA67" s="2390"/>
      <c r="AB67" s="2390"/>
      <c r="AC67" s="2390"/>
      <c r="AD67" s="2390" cm="1">
        <f t="array" ref="AD67">_xlfn.IFS(Application!Z205="15% set-aside with qualifying low value rehab", 0.95,OR(Application!D211="At-Risk",'Points System'!B13="Yes"),0.13,TRUE,0)</f>
        <v>0</v>
      </c>
      <c r="AE67" s="2390"/>
      <c r="AF67" s="2390"/>
      <c r="AG67" s="2390"/>
      <c r="AH67" s="2390"/>
    </row>
    <row r="68" spans="1:36" ht="13" customHeight="1">
      <c r="C68" s="404"/>
      <c r="D68" s="205" t="s">
        <v>2224</v>
      </c>
      <c r="Y68" s="2336">
        <f>ROUND(Y64*Y67,0)</f>
        <v>15655143</v>
      </c>
      <c r="Z68" s="2391"/>
      <c r="AA68" s="2391"/>
      <c r="AB68" s="2391"/>
      <c r="AC68" s="2391"/>
      <c r="AD68" s="2336">
        <f>ROUND(AD64*AD67,0)</f>
        <v>0</v>
      </c>
      <c r="AE68" s="2391"/>
      <c r="AF68" s="2391"/>
      <c r="AG68" s="2391"/>
      <c r="AH68" s="2391"/>
    </row>
    <row r="69" spans="1:36" ht="13" customHeight="1">
      <c r="C69" s="404"/>
      <c r="D69" s="205" t="s">
        <v>2225</v>
      </c>
      <c r="Y69" s="2336">
        <f>IF(OR(Application!Z205="State Farmworker Credit",Application!Z205="$500M (Farmworker Housing)"),Y68+AD68,MIN(Y68+AD68,200000*(Application!G753+Application!O777)))</f>
        <v>15655143</v>
      </c>
      <c r="Z69" s="2336"/>
      <c r="AA69" s="2336"/>
      <c r="AB69" s="2336"/>
      <c r="AC69" s="2336"/>
      <c r="AD69" s="2336"/>
      <c r="AE69" s="2336"/>
      <c r="AF69" s="2336"/>
      <c r="AG69" s="2336"/>
      <c r="AH69" s="2336"/>
    </row>
    <row r="70" spans="1:36" ht="13" customHeight="1">
      <c r="C70" s="404"/>
      <c r="E70" s="404"/>
      <c r="AB70" s="422"/>
      <c r="AC70" s="422"/>
      <c r="AD70" s="422"/>
      <c r="AE70" s="422"/>
      <c r="AF70" s="422"/>
    </row>
    <row r="71" spans="1:36" ht="13" customHeight="1">
      <c r="A71" s="404" t="s">
        <v>590</v>
      </c>
      <c r="C71" s="205" t="s">
        <v>284</v>
      </c>
    </row>
    <row r="72" spans="1:36" ht="13" customHeight="1">
      <c r="A72" s="404"/>
      <c r="C72" s="404"/>
      <c r="D72" s="205" t="s">
        <v>1249</v>
      </c>
      <c r="AB72" s="2379">
        <v>0.87</v>
      </c>
      <c r="AC72" s="2380"/>
      <c r="AD72" s="2380"/>
      <c r="AE72" s="2380"/>
      <c r="AF72" s="2381"/>
    </row>
    <row r="73" spans="1:36" ht="13" customHeight="1">
      <c r="A73" s="404"/>
      <c r="C73" s="404"/>
      <c r="D73" s="404"/>
      <c r="E73" s="2392" t="s">
        <v>1250</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3"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3"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85">
        <f>ROUND(IF(ISERROR((AB59/AB72)),0,(AB59/AB72)),0)</f>
        <v>12000000</v>
      </c>
      <c r="AC77" s="2385"/>
      <c r="AD77" s="2385"/>
      <c r="AE77" s="2385"/>
      <c r="AF77" s="2385"/>
    </row>
    <row r="78" spans="1:36" ht="13" customHeight="1">
      <c r="C78" s="404"/>
      <c r="D78" s="205" t="s">
        <v>1252</v>
      </c>
      <c r="AB78" s="2386">
        <f>ROUNDUP(MIN(Y69,AB77),0)</f>
        <v>12000000</v>
      </c>
      <c r="AC78" s="2387"/>
      <c r="AD78" s="2387"/>
      <c r="AE78" s="2387"/>
      <c r="AF78" s="2388"/>
    </row>
    <row r="79" spans="1:36" ht="13" customHeight="1">
      <c r="C79" s="404"/>
      <c r="D79" s="205" t="s">
        <v>1253</v>
      </c>
      <c r="AB79" s="2389">
        <f>AB78*AB72</f>
        <v>10440000</v>
      </c>
      <c r="AC79" s="2389"/>
      <c r="AD79" s="2389"/>
      <c r="AE79" s="2389"/>
      <c r="AF79" s="2389"/>
    </row>
    <row r="80" spans="1:36" ht="13" customHeight="1">
      <c r="C80" s="404"/>
      <c r="D80" s="404"/>
      <c r="AB80" s="425"/>
      <c r="AC80" s="425"/>
      <c r="AD80" s="425"/>
      <c r="AE80" s="425"/>
      <c r="AF80" s="425"/>
    </row>
    <row r="81" spans="1:78" ht="13" customHeight="1">
      <c r="D81" s="404" t="s">
        <v>754</v>
      </c>
      <c r="AB81" s="2375">
        <f>AB49-(AB57+AB79)</f>
        <v>0</v>
      </c>
      <c r="AC81" s="2375"/>
      <c r="AD81" s="2375"/>
      <c r="AE81" s="2375"/>
      <c r="AF81" s="2375"/>
    </row>
    <row r="82" spans="1:78" ht="13" customHeight="1">
      <c r="F82" s="522"/>
      <c r="J82" s="522" t="str">
        <f>IF(AB81&gt;0,"FUNDING GAP MUST NOT EXCEED ZERO","")</f>
        <v/>
      </c>
    </row>
    <row r="83" spans="1:78" ht="13" customHeight="1">
      <c r="D83" s="523"/>
    </row>
    <row r="84" spans="1:78" ht="13"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3" customHeight="1" thickTop="1"/>
    <row r="86" spans="1:78" ht="13" customHeight="1">
      <c r="A86" s="404"/>
      <c r="C86" s="205"/>
    </row>
    <row r="87" spans="1:78" ht="13" customHeight="1">
      <c r="D87" s="205"/>
      <c r="AB87" s="2341"/>
      <c r="AC87" s="2341"/>
      <c r="AD87" s="2341"/>
      <c r="AE87" s="2341"/>
      <c r="AF87" s="2341"/>
    </row>
    <row r="88" spans="1:78" ht="13"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T128" sqref="T128"/>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34"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08984375" style="14" hidden="1"/>
  </cols>
  <sheetData>
    <row r="1" spans="1:42" ht="15.75" customHeight="1">
      <c r="A1" s="2623" t="s">
        <v>1299</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1304</v>
      </c>
      <c r="AF7" s="2464"/>
      <c r="AG7" s="2464"/>
      <c r="AH7" s="2464"/>
      <c r="AI7" s="2464"/>
      <c r="AJ7" s="2464"/>
      <c r="AK7" s="2464"/>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591</v>
      </c>
      <c r="C13" s="2617"/>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591</v>
      </c>
      <c r="C16" s="2617"/>
      <c r="D16" s="547"/>
      <c r="E16" s="2609" t="s">
        <v>1306</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591</v>
      </c>
      <c r="C22" s="2617"/>
      <c r="D22" s="547"/>
      <c r="E22" s="2627" t="s">
        <v>1309</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591</v>
      </c>
      <c r="C25" s="2617"/>
      <c r="D25" s="547"/>
      <c r="E25" s="2544" t="s">
        <v>2032</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591</v>
      </c>
      <c r="C28" s="2617"/>
      <c r="D28" s="547"/>
      <c r="E28" s="2646" t="s">
        <v>2248</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17" t="s">
        <v>591</v>
      </c>
      <c r="C33" s="2617"/>
      <c r="D33" s="547"/>
      <c r="E33" s="2627" t="s">
        <v>2250</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591</v>
      </c>
      <c r="C36" s="2617"/>
      <c r="D36" s="547"/>
      <c r="E36" s="2544" t="s">
        <v>2251</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591</v>
      </c>
      <c r="C40" s="2617"/>
      <c r="D40" s="547"/>
      <c r="E40" s="2544" t="s">
        <v>2249</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591</v>
      </c>
      <c r="C45" s="2617"/>
      <c r="D45" s="1142"/>
      <c r="E45" s="2544" t="s">
        <v>2007</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591</v>
      </c>
      <c r="C52" s="2617"/>
      <c r="D52" s="540"/>
      <c r="E52" s="2544" t="s">
        <v>2012</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591</v>
      </c>
      <c r="C56" s="2617"/>
      <c r="D56" s="540"/>
      <c r="E56" s="2643" t="s">
        <v>2013</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591</v>
      </c>
      <c r="C58" s="2617"/>
      <c r="D58" s="540"/>
      <c r="E58" s="2544" t="s">
        <v>2014</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1313</v>
      </c>
      <c r="AF65" s="2464"/>
      <c r="AG65" s="2464"/>
      <c r="AH65" s="2464"/>
      <c r="AI65" s="2464"/>
      <c r="AJ65" s="2464"/>
      <c r="AK65" s="2464"/>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591</v>
      </c>
      <c r="C68" s="2617"/>
      <c r="D68" s="547" t="s">
        <v>1314</v>
      </c>
      <c r="E68" s="2609" t="s">
        <v>2015</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10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1315</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545</v>
      </c>
      <c r="C74" s="2617"/>
      <c r="D74" s="547" t="s">
        <v>1316</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545</v>
      </c>
      <c r="F75" s="2617"/>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591</v>
      </c>
      <c r="F76" s="2638"/>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591</v>
      </c>
      <c r="F77" s="2638"/>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591</v>
      </c>
      <c r="F79" s="2617"/>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591</v>
      </c>
      <c r="C81" s="2617"/>
      <c r="D81" s="547" t="s">
        <v>1319</v>
      </c>
      <c r="E81" s="2544" t="s">
        <v>1738</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1304</v>
      </c>
      <c r="AF87" s="2464"/>
      <c r="AG87" s="2464"/>
      <c r="AH87" s="2464"/>
      <c r="AI87" s="2464"/>
      <c r="AJ87" s="2464"/>
      <c r="AK87" s="2464"/>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591</v>
      </c>
      <c r="C90" s="2617"/>
      <c r="D90" s="547" t="s">
        <v>1314</v>
      </c>
      <c r="E90" s="2609" t="s">
        <v>1324</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0.5742268041237113</v>
      </c>
      <c r="F93" s="2606"/>
      <c r="G93" s="2606"/>
      <c r="H93" s="2606"/>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2.0000000000000018E-2</v>
      </c>
      <c r="F94" s="2411"/>
      <c r="G94" s="2411"/>
      <c r="H94" s="2411"/>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4.0000000000000036</v>
      </c>
      <c r="F95" s="2622"/>
      <c r="G95" s="2622"/>
      <c r="H95" s="2622"/>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545</v>
      </c>
      <c r="C98" s="2617"/>
      <c r="D98" s="547" t="s">
        <v>1316</v>
      </c>
      <c r="E98" s="2609" t="s">
        <v>1723</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0.5742268041237113</v>
      </c>
      <c r="F103" s="2606"/>
      <c r="G103" s="2606"/>
      <c r="H103" s="2606"/>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0.15463917525773196</v>
      </c>
      <c r="F104" s="2606"/>
      <c r="G104" s="2606"/>
      <c r="H104" s="2606"/>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0.1134020618556701</v>
      </c>
      <c r="F105" s="2606"/>
      <c r="G105" s="2606"/>
      <c r="H105" s="2606"/>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1313</v>
      </c>
      <c r="AF112" s="2464"/>
      <c r="AG112" s="2464"/>
      <c r="AH112" s="2464"/>
      <c r="AI112" s="2464"/>
      <c r="AJ112" s="2464"/>
      <c r="AK112" s="2464"/>
      <c r="AL112" s="540"/>
      <c r="AM112" s="540"/>
      <c r="AN112" s="535"/>
      <c r="AO112" s="536" t="str">
        <f>Application!B718</f>
        <v>1 Bedroom</v>
      </c>
      <c r="AQ112" s="536">
        <f>Application!O718</f>
        <v>2084.3969999999999</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1774.3409999999999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1464.2840000000001</v>
      </c>
    </row>
    <row r="115" spans="1:52" s="536" customFormat="1" ht="12.75" customHeight="1">
      <c r="A115" s="540"/>
      <c r="B115" s="2617" t="s">
        <v>545</v>
      </c>
      <c r="C115" s="2617"/>
      <c r="D115" s="547" t="s">
        <v>1314</v>
      </c>
      <c r="E115" s="2609" t="s">
        <v>1856</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1 Bedroom</v>
      </c>
      <c r="AQ115" s="536">
        <f>Application!O721</f>
        <v>844.17</v>
      </c>
      <c r="AU115" s="536" t="s">
        <v>1838</v>
      </c>
      <c r="AV115" s="595" t="s">
        <v>1839</v>
      </c>
      <c r="AW115" s="536" t="s">
        <v>1840</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2 Bedrooms</v>
      </c>
      <c r="AQ116" s="536">
        <f>Application!O722</f>
        <v>2491</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2 Bedrooms</v>
      </c>
      <c r="AQ117" s="536">
        <f>Application!O723</f>
        <v>2119</v>
      </c>
      <c r="AU117" s="856" t="str">
        <f>J124</f>
        <v>1-bedroom</v>
      </c>
      <c r="AV117" s="536">
        <f t="array" ref="AV117">SUM(IF(Application!B718:F752="1 Bedroom",Application!G718:J752))</f>
        <v>35</v>
      </c>
      <c r="AW117" s="1011">
        <f>AV117/AV122</f>
        <v>0.36082474226804123</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2 Bedrooms</v>
      </c>
      <c r="AQ118" s="536">
        <f>Application!O724</f>
        <v>1747.432</v>
      </c>
      <c r="AU118" s="856" t="str">
        <f>O124</f>
        <v>2-bedroom</v>
      </c>
      <c r="AV118" s="536">
        <f t="array" ref="AV118">SUM(IF(Application!B718:F752="2 Bedrooms",Application!G718:J752))</f>
        <v>28</v>
      </c>
      <c r="AW118" s="1011">
        <f>AV118/AV122</f>
        <v>0.28865979381443296</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2 Bedrooms</v>
      </c>
      <c r="AQ119" s="536">
        <f>Application!O725</f>
        <v>1002</v>
      </c>
      <c r="AU119" s="856" t="str">
        <f>T124</f>
        <v>3-bedroom</v>
      </c>
      <c r="AV119" s="536">
        <f t="array" ref="AV119">SUM(IF(Application!B718:F752="3 Bedrooms",Application!G718:J752))</f>
        <v>34</v>
      </c>
      <c r="AW119" s="1011">
        <f>AV119/AV122</f>
        <v>0.35051546391752575</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t="str">
        <f>Application!B726</f>
        <v>3 Bedrooms</v>
      </c>
      <c r="AQ120" s="536">
        <f>Application!O726</f>
        <v>2864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t="str">
        <f>Application!B727</f>
        <v>3 Bedrooms</v>
      </c>
      <c r="AQ121" s="536">
        <f>Application!O727</f>
        <v>2434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t="str">
        <f>Application!B728</f>
        <v>3 Bedrooms</v>
      </c>
      <c r="AQ122" s="536">
        <f>Application!O728</f>
        <v>2004</v>
      </c>
      <c r="AV122" s="536">
        <f>SUM(AV116:AV121)</f>
        <v>97</v>
      </c>
      <c r="AW122" s="1011">
        <f>SUM(AW116:AW121)</f>
        <v>0.99999999999999989</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1144.4480000000001</v>
      </c>
    </row>
    <row r="124" spans="1:52" s="536" customFormat="1" ht="12.75" customHeight="1">
      <c r="A124" s="540"/>
      <c r="B124" s="539"/>
      <c r="C124" s="540"/>
      <c r="D124" s="540"/>
      <c r="E124" s="2605" t="s">
        <v>1587</v>
      </c>
      <c r="F124" s="2606"/>
      <c r="G124" s="2606"/>
      <c r="H124" s="2606"/>
      <c r="I124" s="577"/>
      <c r="J124" s="2606" t="s">
        <v>1630</v>
      </c>
      <c r="K124" s="2606"/>
      <c r="L124" s="2606"/>
      <c r="M124" s="2606"/>
      <c r="N124" s="577"/>
      <c r="O124" s="2606" t="s">
        <v>1631</v>
      </c>
      <c r="P124" s="2606"/>
      <c r="Q124" s="2606"/>
      <c r="R124" s="2606"/>
      <c r="S124" s="577"/>
      <c r="T124" s="2606" t="s">
        <v>1333</v>
      </c>
      <c r="U124" s="2606"/>
      <c r="V124" s="2606"/>
      <c r="W124" s="2606"/>
      <c r="X124" s="577"/>
      <c r="Y124" s="2606" t="s">
        <v>1632</v>
      </c>
      <c r="Z124" s="2606"/>
      <c r="AA124" s="2606"/>
      <c r="AB124" s="2606"/>
      <c r="AC124" s="577"/>
      <c r="AD124" s="2606" t="s">
        <v>1633</v>
      </c>
      <c r="AE124" s="2606"/>
      <c r="AF124" s="2606"/>
      <c r="AG124" s="260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c r="F127" s="2608"/>
      <c r="G127" s="2608"/>
      <c r="H127" s="2608"/>
      <c r="I127" s="864"/>
      <c r="J127" s="2608">
        <v>2696</v>
      </c>
      <c r="K127" s="2608"/>
      <c r="L127" s="2608"/>
      <c r="M127" s="2608"/>
      <c r="N127" s="864"/>
      <c r="O127" s="2608">
        <v>3500</v>
      </c>
      <c r="P127" s="2608"/>
      <c r="Q127" s="2608"/>
      <c r="R127" s="2608"/>
      <c r="S127" s="864"/>
      <c r="T127" s="2608">
        <v>4262</v>
      </c>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0</v>
      </c>
      <c r="F130" s="2616"/>
      <c r="G130" s="2616"/>
      <c r="H130" s="2616"/>
      <c r="I130" s="864"/>
      <c r="J130" s="2616">
        <f>Application!EC670</f>
        <v>1588.3066857142855</v>
      </c>
      <c r="K130" s="2616"/>
      <c r="L130" s="2616"/>
      <c r="M130" s="2616"/>
      <c r="N130" s="864"/>
      <c r="O130" s="2616">
        <f>Application!EH670</f>
        <v>2065.7605714285719</v>
      </c>
      <c r="P130" s="2616"/>
      <c r="Q130" s="2616"/>
      <c r="R130" s="2616"/>
      <c r="S130" s="868"/>
      <c r="T130" s="2616">
        <f>Application!EM670</f>
        <v>2434.0527058823527</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t="e">
        <f>(E127-E130)/E127</f>
        <v>#DIV/0!</v>
      </c>
      <c r="F133" s="2411"/>
      <c r="G133" s="2411"/>
      <c r="H133" s="2412"/>
      <c r="I133" s="577"/>
      <c r="J133" s="2410">
        <f>(J127-J130)/J127</f>
        <v>0.41086547265790596</v>
      </c>
      <c r="K133" s="2411"/>
      <c r="L133" s="2411"/>
      <c r="M133" s="2412"/>
      <c r="N133" s="577"/>
      <c r="O133" s="2410">
        <f>(O127-O130)/O127</f>
        <v>0.4097826938775509</v>
      </c>
      <c r="P133" s="2411"/>
      <c r="Q133" s="2411"/>
      <c r="R133" s="2412"/>
      <c r="S133" s="577"/>
      <c r="T133" s="2410">
        <f>(T127-T130)/T127</f>
        <v>0.42889425014491961</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t="e">
        <f>IF(((E133-0.1)*AW116)&gt;0,((E133-0.1)*AW116),0)</f>
        <v>#DIV/0!</v>
      </c>
      <c r="F136" s="2619"/>
      <c r="G136" s="2619"/>
      <c r="H136" s="2620"/>
      <c r="I136" s="577"/>
      <c r="J136" s="2618">
        <f>IF(((J133-0.1)*AW117)&gt;0,((J133-0.1)*AW117),0)</f>
        <v>0.11216795405182174</v>
      </c>
      <c r="K136" s="2619"/>
      <c r="L136" s="2619"/>
      <c r="M136" s="2620"/>
      <c r="N136" s="577"/>
      <c r="O136" s="2618">
        <f>IF(((O133-0.1)*AW118)&gt;0,((O133-0.1)*AW118),0)</f>
        <v>8.9421808541973444E-2</v>
      </c>
      <c r="P136" s="2619"/>
      <c r="Q136" s="2619"/>
      <c r="R136" s="2620"/>
      <c r="S136" s="577"/>
      <c r="T136" s="2618">
        <f>IF(((T133-0.1)*AW119)&gt;0,((T133-0.1)*AW119),0)</f>
        <v>0.11528252066935324</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0.31</v>
      </c>
      <c r="F138" s="2411"/>
      <c r="G138" s="2411"/>
      <c r="H138" s="2412"/>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64" t="s">
        <v>1313</v>
      </c>
      <c r="AF146" s="2464"/>
      <c r="AG146" s="2464"/>
      <c r="AH146" s="2464"/>
      <c r="AI146" s="2464"/>
      <c r="AJ146" s="2464"/>
      <c r="AK146" s="2464"/>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1337</v>
      </c>
      <c r="AG148" s="2524"/>
      <c r="AH148" s="2524"/>
      <c r="AI148" s="2524"/>
      <c r="AJ148" s="2524"/>
      <c r="AK148" s="2524"/>
      <c r="AL148" s="2524"/>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2727</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95" t="s">
        <v>2252</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1341</v>
      </c>
      <c r="AB155" s="2396" t="s">
        <v>591</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95" t="s">
        <v>1342</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2475</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2476</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2474</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545</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1351</v>
      </c>
      <c r="AG168" s="2524"/>
      <c r="AH168" s="2524"/>
      <c r="AI168" s="2524"/>
      <c r="AJ168" s="2524"/>
      <c r="AK168" s="2524"/>
      <c r="AL168" s="2524"/>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1349</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591</v>
      </c>
      <c r="AG172" s="2396"/>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595" t="s">
        <v>1342</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596" t="str">
        <f>Application!AA335</f>
        <v>FPI Management Corporation</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1313</v>
      </c>
      <c r="AF186" s="2464"/>
      <c r="AG186" s="2464"/>
      <c r="AH186" s="2464"/>
      <c r="AI186" s="2464"/>
      <c r="AJ186" s="2464"/>
      <c r="AK186" s="2464"/>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93" t="s">
        <v>1040</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1362</v>
      </c>
      <c r="AG188" s="2524"/>
      <c r="AH188" s="2524"/>
      <c r="AI188" s="2524"/>
      <c r="AJ188" s="2524"/>
      <c r="AK188" s="2524"/>
      <c r="AL188" s="2524"/>
      <c r="AN188" s="597"/>
      <c r="AP188" s="550" t="s">
        <v>1042</v>
      </c>
      <c r="AQ188" s="550">
        <v>10</v>
      </c>
    </row>
    <row r="189" spans="1:73" s="550" customFormat="1" ht="12.75" customHeight="1">
      <c r="A189" s="536"/>
      <c r="B189" s="2395" t="s">
        <v>1724</v>
      </c>
      <c r="C189" s="2395"/>
      <c r="D189" s="2395"/>
      <c r="E189" s="2395"/>
      <c r="F189" s="2395"/>
      <c r="G189" s="2395"/>
      <c r="H189" s="2395"/>
      <c r="I189" s="2395"/>
      <c r="J189" s="2395"/>
      <c r="K189" s="2395"/>
      <c r="L189" s="2395"/>
      <c r="M189" s="2395"/>
      <c r="N189" s="2395"/>
      <c r="O189" s="2395"/>
      <c r="P189" s="2395"/>
      <c r="Q189" s="2395"/>
      <c r="R189" s="2395"/>
      <c r="S189" s="2395"/>
      <c r="T189" s="2594" t="s">
        <v>591</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31">
        <f>IF(AK84&gt;0,VLOOKUP($B$188,AP185:AQ191,2,FALSE),0)</f>
        <v>10</v>
      </c>
      <c r="AL191" s="2432"/>
      <c r="AM191" s="2433"/>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1371</v>
      </c>
      <c r="AF194" s="2464"/>
      <c r="AG194" s="2464"/>
      <c r="AH194" s="2464"/>
      <c r="AI194" s="2464"/>
      <c r="AJ194" s="2464"/>
      <c r="AK194" s="2464"/>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2614</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5000000</v>
      </c>
      <c r="AE199" s="2577"/>
      <c r="AF199" s="2577"/>
      <c r="AG199" s="2577"/>
      <c r="AH199" s="2577"/>
      <c r="AI199" s="2577"/>
      <c r="AJ199" s="2577"/>
      <c r="AK199" s="610"/>
    </row>
    <row r="200" spans="1:40">
      <c r="A200" s="605"/>
      <c r="B200" s="2587" t="s">
        <v>2733</v>
      </c>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v>3175000</v>
      </c>
      <c r="AE200" s="2577"/>
      <c r="AF200" s="2577"/>
      <c r="AG200" s="2577"/>
      <c r="AH200" s="2577"/>
      <c r="AI200" s="2577"/>
      <c r="AJ200" s="2577"/>
      <c r="AK200" s="610"/>
    </row>
    <row r="201" spans="1:40">
      <c r="A201" s="605"/>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1626</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0</v>
      </c>
      <c r="AE209" s="2575"/>
      <c r="AF209" s="2575"/>
      <c r="AG209" s="2575"/>
      <c r="AH209" s="2575"/>
      <c r="AI209" s="2575"/>
      <c r="AJ209" s="2575"/>
      <c r="AK209" s="610"/>
    </row>
    <row r="210" spans="1:37">
      <c r="A210" s="605"/>
      <c r="B210" s="2449" t="s">
        <v>1589</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1">
        <f>SUM(AD199:AJ209)-AD210</f>
        <v>8175000</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1606</v>
      </c>
      <c r="J222" s="2600"/>
      <c r="K222" s="2600"/>
      <c r="L222" s="536"/>
      <c r="M222" s="536"/>
      <c r="N222" s="536"/>
      <c r="O222" s="536"/>
      <c r="P222" s="536"/>
      <c r="Q222" s="536"/>
      <c r="R222" s="536"/>
      <c r="S222" s="536"/>
      <c r="T222" s="2415" t="s">
        <v>1600</v>
      </c>
      <c r="U222" s="2415"/>
      <c r="V222" s="2415"/>
      <c r="W222" s="2415"/>
      <c r="X222" s="2415"/>
      <c r="Y222" s="2415"/>
      <c r="Z222" s="849"/>
      <c r="AA222" s="489"/>
      <c r="AB222" s="2597" t="s">
        <v>1601</v>
      </c>
      <c r="AC222" s="2597"/>
      <c r="AD222" s="2597"/>
      <c r="AE222" s="2597"/>
      <c r="AF222" s="2597"/>
      <c r="AG222" s="2597"/>
      <c r="AH222" s="827"/>
      <c r="AI222" s="827"/>
      <c r="AJ222" s="827"/>
      <c r="AK222" s="610"/>
    </row>
    <row r="223" spans="1:37">
      <c r="A223" s="605"/>
      <c r="B223" s="2598" t="s">
        <v>1586</v>
      </c>
      <c r="C223" s="2598"/>
      <c r="D223" s="2598"/>
      <c r="E223" s="2598"/>
      <c r="F223" s="2598"/>
      <c r="G223" s="2598"/>
      <c r="I223" s="2599" t="s">
        <v>1607</v>
      </c>
      <c r="J223" s="2599"/>
      <c r="K223" s="2599"/>
      <c r="L223" s="1008"/>
      <c r="N223" s="2450" t="s">
        <v>1602</v>
      </c>
      <c r="O223" s="2450"/>
      <c r="P223" s="2450"/>
      <c r="Q223" s="2450"/>
      <c r="R223" s="2450"/>
      <c r="T223" s="2450" t="s">
        <v>1603</v>
      </c>
      <c r="U223" s="2450"/>
      <c r="V223" s="2450"/>
      <c r="W223" s="2450"/>
      <c r="X223" s="2450"/>
      <c r="Y223" s="2450"/>
      <c r="Z223" s="850"/>
      <c r="AA223" s="489"/>
      <c r="AB223" s="2465" t="s">
        <v>1604</v>
      </c>
      <c r="AC223" s="2465"/>
      <c r="AD223" s="2465"/>
      <c r="AE223" s="2465"/>
      <c r="AF223" s="2465"/>
      <c r="AG223" s="2465"/>
      <c r="AH223" s="827"/>
      <c r="AI223" s="827"/>
      <c r="AJ223" s="827"/>
      <c r="AK223" s="610"/>
    </row>
    <row r="224" spans="1:37">
      <c r="A224" s="605"/>
      <c r="B224" s="2466" t="s">
        <v>1183</v>
      </c>
      <c r="C224" s="2466"/>
      <c r="D224" s="2466"/>
      <c r="E224" s="2466"/>
      <c r="F224" s="2466"/>
      <c r="G224" s="2466"/>
      <c r="H224" s="852"/>
      <c r="I224" s="2419"/>
      <c r="J224" s="2419"/>
      <c r="K224" s="2419"/>
      <c r="L224" s="1008"/>
      <c r="N224" s="2417"/>
      <c r="O224" s="2417"/>
      <c r="P224" s="2417"/>
      <c r="Q224" s="2417"/>
      <c r="R224" s="2417"/>
      <c r="T224" s="2416"/>
      <c r="U224" s="2416"/>
      <c r="V224" s="2416"/>
      <c r="W224" s="2416"/>
      <c r="X224" s="2416"/>
      <c r="Y224" s="2416"/>
      <c r="Z224" s="851"/>
      <c r="AA224" s="851"/>
      <c r="AB224" s="2414">
        <f t="shared" ref="AB224:AB233" si="0">MAX(($T224-$N224)*$I224*12,0)</f>
        <v>0</v>
      </c>
      <c r="AC224" s="2414"/>
      <c r="AD224" s="2414"/>
      <c r="AE224" s="2414"/>
      <c r="AF224" s="2414"/>
      <c r="AG224" s="2414"/>
      <c r="AH224" s="827"/>
      <c r="AI224" s="827"/>
      <c r="AJ224" s="827"/>
      <c r="AK224" s="610"/>
    </row>
    <row r="225" spans="1:37">
      <c r="A225" s="605"/>
      <c r="B225" s="2466" t="s">
        <v>1183</v>
      </c>
      <c r="C225" s="2466"/>
      <c r="D225" s="2466"/>
      <c r="E225" s="2466"/>
      <c r="F225" s="2466"/>
      <c r="G225" s="2466"/>
      <c r="I225" s="2419"/>
      <c r="J225" s="2419"/>
      <c r="K225" s="2419"/>
      <c r="L225" s="1008"/>
      <c r="N225" s="2417"/>
      <c r="O225" s="2417"/>
      <c r="P225" s="2417"/>
      <c r="Q225" s="2417"/>
      <c r="R225" s="2417"/>
      <c r="T225" s="2416"/>
      <c r="U225" s="2416"/>
      <c r="V225" s="2416"/>
      <c r="W225" s="2416"/>
      <c r="X225" s="2416"/>
      <c r="Y225" s="2416"/>
      <c r="Z225" s="851"/>
      <c r="AA225" s="851"/>
      <c r="AB225" s="2414">
        <f t="shared" si="0"/>
        <v>0</v>
      </c>
      <c r="AC225" s="2414"/>
      <c r="AD225" s="2414"/>
      <c r="AE225" s="2414"/>
      <c r="AF225" s="2414"/>
      <c r="AG225" s="2414"/>
      <c r="AH225" s="827"/>
      <c r="AI225" s="827"/>
      <c r="AJ225" s="827"/>
      <c r="AK225" s="610"/>
    </row>
    <row r="226" spans="1:37">
      <c r="A226" s="605"/>
      <c r="B226" s="2466" t="s">
        <v>1183</v>
      </c>
      <c r="C226" s="2466"/>
      <c r="D226" s="2466"/>
      <c r="E226" s="2466"/>
      <c r="F226" s="2466"/>
      <c r="G226" s="2466"/>
      <c r="I226" s="2419"/>
      <c r="J226" s="2419"/>
      <c r="K226" s="2419"/>
      <c r="L226" s="1008"/>
      <c r="N226" s="2417"/>
      <c r="O226" s="2417"/>
      <c r="P226" s="2417"/>
      <c r="Q226" s="2417"/>
      <c r="R226" s="2417"/>
      <c r="T226" s="2416"/>
      <c r="U226" s="2416"/>
      <c r="V226" s="2416"/>
      <c r="W226" s="2416"/>
      <c r="X226" s="2416"/>
      <c r="Y226" s="2416"/>
      <c r="Z226" s="851"/>
      <c r="AA226" s="851"/>
      <c r="AB226" s="2414">
        <f t="shared" si="0"/>
        <v>0</v>
      </c>
      <c r="AC226" s="2414"/>
      <c r="AD226" s="2414"/>
      <c r="AE226" s="2414"/>
      <c r="AF226" s="2414"/>
      <c r="AG226" s="2414"/>
      <c r="AH226" s="827"/>
      <c r="AI226" s="827"/>
      <c r="AJ226" s="827"/>
      <c r="AK226" s="610"/>
    </row>
    <row r="227" spans="1:37">
      <c r="A227" s="605"/>
      <c r="B227" s="2466" t="s">
        <v>1183</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1183</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1183</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1183</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1183</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1183</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1183</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14">
        <f>SUM(AB224:AB233)</f>
        <v>0</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0</v>
      </c>
      <c r="AC250" s="2414"/>
      <c r="AD250" s="2414"/>
      <c r="AE250" s="2414"/>
      <c r="AF250" s="2414"/>
      <c r="AG250" s="2414"/>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0</v>
      </c>
      <c r="AC252" s="2586"/>
      <c r="AD252" s="2586"/>
      <c r="AE252" s="2586"/>
      <c r="AF252" s="2586"/>
      <c r="AG252" s="2586"/>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0</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0</v>
      </c>
      <c r="AC260" s="2579"/>
      <c r="AD260" s="2579"/>
      <c r="AE260" s="2579"/>
      <c r="AF260" s="2579"/>
      <c r="AG260" s="2580"/>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8175000</v>
      </c>
      <c r="AH268" s="2428"/>
      <c r="AI268" s="2428"/>
      <c r="AJ268" s="2428"/>
      <c r="AK268" s="2428"/>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55969510</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0.28999999999999998</v>
      </c>
      <c r="AH270" s="2574"/>
      <c r="AI270" s="2574"/>
      <c r="AJ270" s="2574"/>
      <c r="AK270" s="2574"/>
    </row>
    <row r="271" spans="1:37" ht="13">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63">
        <f>IFERROR(IF(AG270=0,0,IF((AG270*100)&gt;8,8,(AG270*100))),0)</f>
        <v>8</v>
      </c>
      <c r="AL273" s="2563"/>
      <c r="AM273" s="2564"/>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5" t="s">
        <v>545</v>
      </c>
      <c r="D278" s="2445"/>
      <c r="E278" s="547"/>
      <c r="F278" s="2397" t="s">
        <v>2023</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1362</v>
      </c>
      <c r="AH278" s="2572"/>
      <c r="AI278" s="2572"/>
      <c r="AJ278" s="2572"/>
      <c r="AK278" s="550"/>
      <c r="AL278" s="550"/>
      <c r="AM278" s="550"/>
      <c r="AO278" s="550"/>
    </row>
    <row r="279" spans="1:52" ht="13.75"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75"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63">
        <f>IF($C$278="yes",10,0)</f>
        <v>10</v>
      </c>
      <c r="AL285" s="2563"/>
      <c r="AM285" s="2564"/>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1852</v>
      </c>
      <c r="AH288" s="591" t="s">
        <v>1313</v>
      </c>
    </row>
    <row r="289" spans="1:49" ht="15" customHeight="1">
      <c r="B289" s="539"/>
    </row>
    <row r="290" spans="1:49" ht="15" customHeight="1">
      <c r="B290" s="539" t="s">
        <v>1726</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1381</v>
      </c>
      <c r="B292" s="1638"/>
      <c r="C292" s="2396" t="s">
        <v>545</v>
      </c>
      <c r="D292" s="2445"/>
      <c r="E292" s="547"/>
      <c r="F292" s="2565" t="s">
        <v>1382</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2016</v>
      </c>
      <c r="AH292" s="2568"/>
      <c r="AI292" s="2568"/>
      <c r="AJ292" s="2568"/>
      <c r="AK292" s="2568"/>
      <c r="AL292" s="550"/>
      <c r="AM292" s="550"/>
      <c r="AN292" s="73"/>
      <c r="AO292" s="14"/>
      <c r="AP292" s="30"/>
      <c r="AS292" s="570"/>
      <c r="AT292" s="570"/>
      <c r="AU292" s="570"/>
      <c r="AV292" s="32"/>
      <c r="AW292" s="32"/>
    </row>
    <row r="293" spans="1:49" ht="13">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3" t="s">
        <v>2024</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ht="13">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1383</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1384</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1385</v>
      </c>
      <c r="B302" s="1638"/>
      <c r="C302" s="2445" t="s">
        <v>591</v>
      </c>
      <c r="D302" s="2445"/>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47" t="s">
        <v>2018</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8" t="s">
        <v>1388</v>
      </c>
      <c r="B310" s="1638"/>
      <c r="C310" s="2445" t="s">
        <v>591</v>
      </c>
      <c r="D310" s="2445"/>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423" t="s">
        <v>2025</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1183</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1728</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1183</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t="13"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t="13"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t="13"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t="13"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56" t="s">
        <v>1183</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1731</v>
      </c>
    </row>
    <row r="326" spans="1:42" ht="13"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1733</v>
      </c>
    </row>
    <row r="327" spans="1:42" ht="13"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1732</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56" t="s">
        <v>1183</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8" t="s">
        <v>1391</v>
      </c>
      <c r="B333" s="1638"/>
      <c r="C333" s="2445" t="s">
        <v>591</v>
      </c>
      <c r="D333" s="2445"/>
      <c r="E333" s="547"/>
      <c r="F333" s="2544" t="s">
        <v>2026</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31">
        <f>IF(NOT(OR(Application!M355="Yes",Application!M356="Yes")),0,AP295)</f>
        <v>10</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64" t="s">
        <v>1313</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1453</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5"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2091</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2206</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1454</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2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75"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0</v>
      </c>
      <c r="AS357" s="539" t="s">
        <v>1455</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7</v>
      </c>
      <c r="AS359" s="539" t="s">
        <v>1456</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581</v>
      </c>
      <c r="AP361" s="696">
        <f>IF(C407="Yes",5,0)</f>
        <v>0</v>
      </c>
      <c r="AS361" s="539" t="s">
        <v>1877</v>
      </c>
    </row>
    <row r="362" spans="1:46" s="550" customFormat="1" ht="12.75" customHeight="1">
      <c r="A362" s="603"/>
      <c r="B362" s="611"/>
      <c r="C362" s="2534" t="s">
        <v>2231</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3</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763</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584</v>
      </c>
      <c r="AP364" s="696">
        <f>IF(C421="Yes",5,0)</f>
        <v>0</v>
      </c>
    </row>
    <row r="365" spans="1:46" s="550" customFormat="1" ht="11.7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5"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227</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0" t="s">
        <v>1457</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456</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461</v>
      </c>
      <c r="AP370" s="696">
        <f>IF(C449="Yes",5,0)</f>
        <v>0</v>
      </c>
    </row>
    <row r="371" spans="1:81" s="550" customFormat="1" ht="68"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646</v>
      </c>
      <c r="AP371" s="701">
        <f>IF(C453="Yes",5,0)</f>
        <v>0</v>
      </c>
    </row>
    <row r="372" spans="1:81" s="550" customFormat="1" ht="12.5"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41">
        <f>Application!DU802-U374</f>
        <v>178</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15</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3">
        <f>IF(AP375&gt;0,AP375,0)</f>
        <v>0</v>
      </c>
      <c r="AR375" s="2443"/>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34" t="s">
        <v>1459</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591</v>
      </c>
      <c r="D381" s="2445"/>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1461</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34" t="s">
        <v>1462</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591</v>
      </c>
      <c r="D389" s="2445"/>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1461</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34" t="s">
        <v>1464</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545</v>
      </c>
      <c r="D397" s="2445"/>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1466</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591</v>
      </c>
      <c r="D399" s="2445"/>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1461</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34" t="s">
        <v>1470</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591</v>
      </c>
      <c r="D407" s="2445"/>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1461</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545</v>
      </c>
      <c r="D409" s="2445"/>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1473</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591</v>
      </c>
      <c r="D412" s="2445"/>
      <c r="E412" s="715" t="s">
        <v>1474</v>
      </c>
      <c r="F412" s="2434" t="s">
        <v>1475</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1461</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34" t="s">
        <v>1477</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ht="13">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591</v>
      </c>
      <c r="D421" s="2445"/>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1461</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591</v>
      </c>
      <c r="D423" s="2445"/>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1473</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34" t="s">
        <v>1481</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5"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591</v>
      </c>
      <c r="D430" s="2445"/>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1461</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1483</v>
      </c>
      <c r="F433" s="2434" t="s">
        <v>1484</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591</v>
      </c>
      <c r="D442" s="2445"/>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1461</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34" t="s">
        <v>1487</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591</v>
      </c>
      <c r="D449" s="2445"/>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1461</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591</v>
      </c>
      <c r="D453" s="2561"/>
      <c r="E453" s="715" t="s">
        <v>1496</v>
      </c>
      <c r="F453" s="2434" t="s">
        <v>1497</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1461</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75"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591</v>
      </c>
      <c r="D457" s="2445"/>
      <c r="E457" s="715" t="s">
        <v>1502</v>
      </c>
      <c r="F457" s="2434" t="s">
        <v>1503</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1461</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34" t="s">
        <v>1506</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591</v>
      </c>
      <c r="D466" s="2445"/>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1461</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446" t="s">
        <v>1510</v>
      </c>
      <c r="AF472" s="2446"/>
      <c r="AG472" s="2446"/>
      <c r="AH472" s="2446"/>
      <c r="AI472" s="2446"/>
      <c r="AJ472" s="2446"/>
      <c r="AK472" s="2446"/>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53" t="s">
        <v>591</v>
      </c>
      <c r="D478" s="2454"/>
      <c r="E478" s="761" t="s">
        <v>507</v>
      </c>
      <c r="F478" s="2531" t="s">
        <v>1516</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59" t="s">
        <v>591</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0" t="s">
        <v>545</v>
      </c>
      <c r="D482" s="2461"/>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39" t="s">
        <v>591</v>
      </c>
      <c r="W485" s="2439"/>
      <c r="X485" s="2439"/>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39" t="s">
        <v>591</v>
      </c>
      <c r="W487" s="2439"/>
      <c r="X487" s="2439"/>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39" t="s">
        <v>591</v>
      </c>
      <c r="W492" s="2439"/>
      <c r="X492" s="2439"/>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8"/>
      <c r="E495" s="2458"/>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39" t="s">
        <v>591</v>
      </c>
      <c r="W496" s="2439"/>
      <c r="X496" s="2439"/>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39" t="s">
        <v>591</v>
      </c>
      <c r="W498" s="2439"/>
      <c r="X498" s="2439"/>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591</v>
      </c>
      <c r="D501" s="2454"/>
      <c r="E501" s="761" t="s">
        <v>507</v>
      </c>
      <c r="F501" s="2531" t="s">
        <v>1516</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591</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591</v>
      </c>
      <c r="D505" s="2454"/>
      <c r="E505" s="761" t="s">
        <v>757</v>
      </c>
      <c r="F505" s="2455" t="s">
        <v>1538</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7" t="s">
        <v>591</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3" t="s">
        <v>591</v>
      </c>
      <c r="D510" s="2454"/>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3"/>
      <c r="D512" s="2458"/>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591</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591</v>
      </c>
      <c r="D515" s="2526"/>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591</v>
      </c>
      <c r="D519" s="2526"/>
      <c r="F519" s="795" t="s">
        <v>1546</v>
      </c>
      <c r="G519" s="2435" t="s">
        <v>1547</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591</v>
      </c>
      <c r="D523" s="2528"/>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591</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1559</v>
      </c>
      <c r="AF538" s="2464"/>
      <c r="AG538" s="2464"/>
      <c r="AH538" s="2464"/>
      <c r="AI538" s="2464"/>
      <c r="AJ538" s="2464"/>
      <c r="AK538" s="2464"/>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591</v>
      </c>
      <c r="D541" s="2445"/>
      <c r="E541" s="551"/>
      <c r="F541" s="2467" t="s">
        <v>1560</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545</v>
      </c>
      <c r="D544" s="2445"/>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1562</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1563</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50011535</v>
      </c>
      <c r="AQ550" s="2422"/>
      <c r="AR550" s="2422"/>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52183811</v>
      </c>
      <c r="AG551" s="2428"/>
      <c r="AH551" s="2428"/>
      <c r="AI551" s="2428"/>
      <c r="AJ551" s="2428"/>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87016835.349999994</v>
      </c>
      <c r="AG552" s="2429"/>
      <c r="AH552" s="2429"/>
      <c r="AI552" s="2429"/>
      <c r="AJ552" s="2429"/>
      <c r="AK552" s="595"/>
      <c r="AL552" s="595"/>
      <c r="AM552" s="595"/>
      <c r="AN552" s="597"/>
      <c r="AP552" s="2422">
        <f>Application!AJ1045</f>
        <v>5501268.8499999996</v>
      </c>
      <c r="AQ552" s="2422"/>
      <c r="AR552" s="2422"/>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0.8</v>
      </c>
      <c r="AG553" s="2430"/>
      <c r="AH553" s="2430"/>
      <c r="AI553" s="2430"/>
      <c r="AJ553" s="2430"/>
      <c r="AK553" s="595"/>
      <c r="AL553" s="595"/>
      <c r="AM553" s="595"/>
      <c r="AN553" s="597"/>
      <c r="AP553" s="2418">
        <f>Application!AJ1049</f>
        <v>15003460.5</v>
      </c>
      <c r="AQ553" s="2418"/>
      <c r="AR553" s="2418"/>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0.41000000000000003</v>
      </c>
      <c r="AQ554" s="2437"/>
      <c r="AR554" s="2437"/>
      <c r="AS554" s="550" t="s">
        <v>2170</v>
      </c>
    </row>
    <row r="555" spans="1:49" s="550" customFormat="1" ht="12.75" customHeight="1">
      <c r="A555" s="624"/>
      <c r="B555" s="2504" t="s">
        <v>2030</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66512106</v>
      </c>
      <c r="AQ556" s="2438"/>
      <c r="AR556" s="2438"/>
      <c r="AS556" s="550" t="s">
        <v>2172</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87016835.349999994</v>
      </c>
      <c r="AQ557" s="2422"/>
      <c r="AR557" s="2422"/>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13">
        <f>IFERROR(IF(AND(C541="N/A",C544="N/A"),0,IF(AF553=0,0,IF((AF553*100)&gt;12,12,(AF553*100)))),0)</f>
        <v>12</v>
      </c>
      <c r="AL559" s="2513"/>
      <c r="AM559" s="2514"/>
      <c r="AN559" s="597"/>
      <c r="AP559" s="2407">
        <f>AP556+(AP550*AP554)</f>
        <v>87016835.349999994</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1313</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2021</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1337</v>
      </c>
      <c r="AG578" s="2524"/>
      <c r="AH578" s="2524"/>
      <c r="AI578" s="2524"/>
      <c r="AJ578" s="2524"/>
      <c r="AK578" s="2524"/>
      <c r="AL578" s="2524"/>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1395</v>
      </c>
      <c r="AG585" s="2524"/>
      <c r="AH585" s="2524"/>
      <c r="AI585" s="2524"/>
      <c r="AJ585" s="2524"/>
      <c r="AK585" s="2524"/>
      <c r="AL585" s="2524"/>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1377</v>
      </c>
      <c r="AG591" s="2524"/>
      <c r="AH591" s="2524"/>
      <c r="AI591" s="2524"/>
      <c r="AJ591" s="2524"/>
      <c r="AK591" s="2524"/>
      <c r="AL591" s="2524"/>
      <c r="AN591" s="597"/>
      <c r="AO591" s="611" t="s">
        <v>1397</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1398</v>
      </c>
      <c r="AG597" s="2524"/>
      <c r="AH597" s="2524"/>
      <c r="AI597" s="2524"/>
      <c r="AJ597" s="2524"/>
      <c r="AK597" s="2524"/>
      <c r="AL597" s="2524"/>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40" t="s">
        <v>1183</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1351</v>
      </c>
      <c r="AG603" s="2524"/>
      <c r="AH603" s="2524"/>
      <c r="AI603" s="2524"/>
      <c r="AJ603" s="2524"/>
      <c r="AK603" s="2524"/>
      <c r="AL603" s="2524"/>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448" t="s">
        <v>687</v>
      </c>
      <c r="I606" s="2448"/>
      <c r="J606" s="936"/>
      <c r="K606" s="936"/>
      <c r="L606" s="936"/>
      <c r="N606" s="22"/>
      <c r="O606" s="22"/>
      <c r="P606" s="22"/>
      <c r="Q606" s="1151" t="s">
        <v>2175</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39" t="s">
        <v>591</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396" t="s">
        <v>591</v>
      </c>
      <c r="C616" s="2396"/>
      <c r="D616" s="642"/>
      <c r="E616" s="2424" t="s">
        <v>1402</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31">
        <f>VLOOKUP($H$606,$AO$586:$AP$591,2,FALSE)+IF(R606=AO594,0,VLOOKUP($I$614,$AO$613:$AP$615,2,FALSE))</f>
        <v>7</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8" t="s">
        <v>1692</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1351</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396" t="s">
        <v>591</v>
      </c>
      <c r="Y634" s="2396"/>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1407</v>
      </c>
      <c r="AG636" s="2524"/>
      <c r="AH636" s="2524"/>
      <c r="AI636" s="2524"/>
      <c r="AJ636" s="2524"/>
      <c r="AK636" s="2524"/>
      <c r="AL636" s="2524"/>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48" t="s">
        <v>687</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31">
        <f>VLOOKUP($H$638,$AO$605:$AP$607,2,FALSE)</f>
        <v>3</v>
      </c>
      <c r="AK640" s="2433"/>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4" t="s">
        <v>2096</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1351</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1407</v>
      </c>
      <c r="AG647" s="2524"/>
      <c r="AH647" s="2524"/>
      <c r="AI647" s="2524"/>
      <c r="AJ647" s="2524"/>
      <c r="AK647" s="2524"/>
      <c r="AL647" s="2524"/>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48" t="s">
        <v>687</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31">
        <f>VLOOKUP(H650,AT605:AU607,2,FALSE)</f>
        <v>3</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4" t="s">
        <v>1417</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1377</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4" t="s">
        <v>1418</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1398</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4" t="s">
        <v>1419</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1351</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591</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24" t="s">
        <v>1420</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1398</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24" t="s">
        <v>1421</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1351</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24" t="s">
        <v>1422</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1407</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24" t="s">
        <v>1423</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1424</v>
      </c>
      <c r="AG681" s="2524"/>
      <c r="AH681" s="2524"/>
      <c r="AI681" s="2524"/>
      <c r="AJ681" s="2524"/>
      <c r="AK681" s="2524"/>
      <c r="AL681" s="2524"/>
      <c r="AM681" s="596"/>
      <c r="AN681" s="597"/>
      <c r="AO681" s="611" t="s">
        <v>687</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48" t="s">
        <v>687</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31">
        <f>VLOOKUP($H$685,$AO$633:$AP$640,2,FALSE)</f>
        <v>5</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11</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97</v>
      </c>
    </row>
    <row r="691" spans="1:51" s="550" customFormat="1" ht="12.75" customHeight="1">
      <c r="A691" s="679"/>
      <c r="B691" s="536"/>
      <c r="C691" s="948"/>
      <c r="D691" s="663" t="s">
        <v>687</v>
      </c>
      <c r="E691" s="2394" t="s">
        <v>2188</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1351</v>
      </c>
      <c r="AG691" s="2524"/>
      <c r="AH691" s="2524"/>
      <c r="AI691" s="2524"/>
      <c r="AJ691" s="2524"/>
      <c r="AK691" s="2524"/>
      <c r="AL691" s="2524"/>
      <c r="AN691" s="597"/>
      <c r="AW691" s="22" t="s">
        <v>2183</v>
      </c>
      <c r="AX691" s="550">
        <f>Application!DE753</f>
        <v>34</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424" t="s">
        <v>2132</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1351</v>
      </c>
      <c r="AG694" s="2524"/>
      <c r="AH694" s="2524"/>
      <c r="AI694" s="2524"/>
      <c r="AJ694" s="2524"/>
      <c r="AK694" s="2524"/>
      <c r="AL694" s="2524"/>
      <c r="AN694" s="597"/>
      <c r="AW694" s="22" t="s">
        <v>2186</v>
      </c>
      <c r="AX694" s="550">
        <f>AX691+AX692+AX693</f>
        <v>34</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1</v>
      </c>
      <c r="AP695" s="2438"/>
      <c r="AW695" s="22" t="s">
        <v>2187</v>
      </c>
      <c r="AX695" s="550">
        <f>IFERROR(AX694/AX690,0)</f>
        <v>0.35051546391752575</v>
      </c>
      <c r="AY695" s="550">
        <f>IFERROR(AX694/(AX690-AX689),0)</f>
        <v>0.39534883720930231</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4" t="s">
        <v>2133</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1407</v>
      </c>
      <c r="AG699" s="2524"/>
      <c r="AH699" s="2524"/>
      <c r="AI699" s="2524"/>
      <c r="AJ699" s="2524"/>
      <c r="AK699" s="2524"/>
      <c r="AL699" s="2524"/>
      <c r="AN699" s="597"/>
      <c r="AO699" s="611" t="s">
        <v>509</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3"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4" t="s">
        <v>1691</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48" t="s">
        <v>509</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31">
        <f>VLOOKUP($H$709,$AO$703:$AP$706,2,FALSE)</f>
        <v>3</v>
      </c>
      <c r="AK711" s="2433"/>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36" t="s">
        <v>1693</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1351</v>
      </c>
      <c r="AG715" s="2524"/>
      <c r="AH715" s="2524"/>
      <c r="AI715" s="2524"/>
      <c r="AJ715" s="2524"/>
      <c r="AK715" s="2524"/>
      <c r="AL715" s="2524"/>
      <c r="AM715" s="550"/>
      <c r="AN715" s="684"/>
      <c r="AP715" s="570" t="s">
        <v>1431</v>
      </c>
    </row>
    <row r="716" spans="1:43" s="570" customFormat="1" ht="11.7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1432</v>
      </c>
    </row>
    <row r="717" spans="1:43" s="570" customFormat="1" ht="14"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1433</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4" customHeight="1">
      <c r="A719" s="550"/>
      <c r="B719" s="536"/>
      <c r="C719" s="931"/>
      <c r="D719" s="663" t="s">
        <v>509</v>
      </c>
      <c r="E719" s="2537" t="s">
        <v>1434</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1407</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1399</v>
      </c>
      <c r="E723" s="936"/>
      <c r="F723" s="936"/>
      <c r="G723" s="936"/>
      <c r="H723" s="2448" t="s">
        <v>591</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687</v>
      </c>
      <c r="E729" s="2424" t="s">
        <v>1694</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1351</v>
      </c>
      <c r="AG729" s="2524"/>
      <c r="AH729" s="2524"/>
      <c r="AI729" s="2524"/>
      <c r="AJ729" s="2524"/>
      <c r="AK729" s="2524"/>
      <c r="AL729" s="2524"/>
      <c r="AM729" s="550"/>
      <c r="AN729" s="684"/>
      <c r="AT729" s="14"/>
      <c r="AU729" s="14"/>
      <c r="AV729" s="14"/>
      <c r="AW729" s="14"/>
      <c r="AX729" s="14"/>
      <c r="AY729" s="14"/>
      <c r="AZ729" s="14"/>
    </row>
    <row r="730" spans="1:81" s="570" customFormat="1" ht="13">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4" t="s">
        <v>1438</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1407</v>
      </c>
      <c r="AG732" s="2524"/>
      <c r="AH732" s="2524"/>
      <c r="AI732" s="2524"/>
      <c r="AJ732" s="2524"/>
      <c r="AK732" s="2524"/>
      <c r="AL732" s="2524"/>
      <c r="AM732" s="550"/>
      <c r="AN732" s="684"/>
      <c r="AT732" s="14"/>
      <c r="AU732" s="14"/>
      <c r="AV732" s="14"/>
      <c r="AW732" s="14"/>
      <c r="AX732" s="14"/>
      <c r="AY732" s="14"/>
      <c r="AZ732" s="14"/>
    </row>
    <row r="733" spans="1:81" s="570" customFormat="1" ht="13">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48" t="s">
        <v>591</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687</v>
      </c>
      <c r="E741" s="2424" t="s">
        <v>1441</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1351</v>
      </c>
      <c r="AG741" s="2524"/>
      <c r="AH741" s="2524"/>
      <c r="AI741" s="2524"/>
      <c r="AJ741" s="2524"/>
      <c r="AK741" s="2524"/>
      <c r="AL741" s="2524"/>
      <c r="AM741" s="550"/>
      <c r="AN741" s="684"/>
      <c r="AT741" s="14"/>
      <c r="AU741" s="14"/>
      <c r="AV741" s="14"/>
      <c r="AW741" s="14"/>
      <c r="AX741" s="14"/>
      <c r="AY741" s="14"/>
      <c r="AZ741" s="14"/>
    </row>
    <row r="742" spans="1:81" s="570" customFormat="1" ht="13">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24" t="s">
        <v>1442</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1407</v>
      </c>
      <c r="AG746" s="2524"/>
      <c r="AH746" s="2524"/>
      <c r="AI746" s="2524"/>
      <c r="AJ746" s="2524"/>
      <c r="AK746" s="2524"/>
      <c r="AL746" s="2524"/>
      <c r="AM746" s="550"/>
      <c r="AN746" s="684"/>
      <c r="AO746" s="30"/>
      <c r="AP746" s="14"/>
    </row>
    <row r="747" spans="1:81" s="570" customFormat="1" ht="13">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48" t="s">
        <v>509</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31">
        <f>VLOOKUP($H$751,$AO$680:$AP$682,2,FALSE)</f>
        <v>2</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687</v>
      </c>
      <c r="E757" s="2424" t="s">
        <v>1444</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1407</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24" t="s">
        <v>1445</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1424</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48" t="s">
        <v>687</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31">
        <f>VLOOKUP($H$763,$AO$697:$AP$699,2,FALSE)</f>
        <v>2</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24" t="s">
        <v>1690</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1407</v>
      </c>
      <c r="AG769" s="2524"/>
      <c r="AH769" s="2524"/>
      <c r="AI769" s="2524"/>
      <c r="AJ769" s="2524"/>
      <c r="AK769" s="2524"/>
      <c r="AL769" s="2524"/>
      <c r="AM769" s="613"/>
      <c r="AN769" s="684"/>
      <c r="AO769" s="550" t="s">
        <v>591</v>
      </c>
      <c r="AP769" s="673">
        <v>0</v>
      </c>
    </row>
    <row r="770" spans="1:81" s="570" customFormat="1" ht="13.75"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687</v>
      </c>
      <c r="AP770" s="550">
        <v>2</v>
      </c>
    </row>
    <row r="771" spans="1:81" s="570" customFormat="1" ht="13">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1695</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1351</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48" t="s">
        <v>591</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31">
        <f>VLOOKUP($H$779,$AO$769:$AP$771,2,FALSE)</f>
        <v>0</v>
      </c>
      <c r="AK781" s="2433"/>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24" t="s">
        <v>2031</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1351</v>
      </c>
      <c r="AG785" s="2524"/>
      <c r="AH785" s="2524"/>
      <c r="AI785" s="2524"/>
      <c r="AJ785" s="2524"/>
      <c r="AK785" s="2524"/>
      <c r="AL785" s="2524"/>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448" t="s">
        <v>545</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31">
        <f>VLOOKUP($H$790,$AO$784:$AP$785,2,FALSE)</f>
        <v>3</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1567</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ht="13">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8" t="s">
        <v>1568</v>
      </c>
      <c r="U802" s="2519"/>
      <c r="V802" s="2519"/>
      <c r="W802" s="2519"/>
      <c r="X802" s="2519"/>
      <c r="Y802" s="2520"/>
      <c r="Z802" s="2518" t="s">
        <v>1569</v>
      </c>
      <c r="AA802" s="2519"/>
      <c r="AB802" s="2519"/>
      <c r="AC802" s="2519"/>
      <c r="AD802" s="2519"/>
      <c r="AE802" s="2520"/>
      <c r="AF802" s="2518" t="s">
        <v>1570</v>
      </c>
      <c r="AG802" s="2519"/>
      <c r="AH802" s="2519"/>
      <c r="AI802" s="2519"/>
      <c r="AJ802" s="2519"/>
      <c r="AK802" s="2520"/>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ht="13">
      <c r="A804" s="819" t="s">
        <v>757</v>
      </c>
      <c r="B804" s="2475" t="s">
        <v>1303</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ht="13">
      <c r="A805" s="819" t="s">
        <v>1540</v>
      </c>
      <c r="B805" s="2475" t="s">
        <v>1312</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ht="13">
      <c r="A806" s="819" t="s">
        <v>1549</v>
      </c>
      <c r="B806" s="2475" t="s">
        <v>1322</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ht="13">
      <c r="A807" s="819" t="s">
        <v>1571</v>
      </c>
      <c r="B807" s="2475" t="s">
        <v>1332</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ht="13">
      <c r="A808" s="820" t="s">
        <v>1572</v>
      </c>
      <c r="B808" s="2475" t="s">
        <v>1573</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ht="13">
      <c r="A809" s="535"/>
      <c r="B809" s="601"/>
      <c r="C809" s="2481" t="s">
        <v>1574</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ht="13">
      <c r="A810" s="600"/>
      <c r="B810" s="601"/>
      <c r="C810" s="2481" t="s">
        <v>1575</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ht="13">
      <c r="A811" s="820" t="s">
        <v>1360</v>
      </c>
      <c r="B811" s="2475" t="s">
        <v>1576</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ht="13">
      <c r="A812" s="819" t="s">
        <v>1369</v>
      </c>
      <c r="B812" s="2475" t="s">
        <v>1370</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t="13" hidden="1">
      <c r="A813" s="820" t="s">
        <v>589</v>
      </c>
      <c r="B813" s="2475" t="s">
        <v>1577</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475" t="s">
        <v>1578</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475" t="s">
        <v>1380</v>
      </c>
      <c r="C815" s="2475"/>
      <c r="D815" s="2475"/>
      <c r="E815" s="2475"/>
      <c r="F815" s="2475"/>
      <c r="G815" s="2475"/>
      <c r="H815" s="2475"/>
      <c r="I815" s="2475"/>
      <c r="J815" s="2475"/>
      <c r="K815" s="2475"/>
      <c r="L815" s="2475"/>
      <c r="M815" s="2475"/>
      <c r="N815" s="2475"/>
      <c r="O815" s="2475"/>
      <c r="P815" s="2475"/>
      <c r="Q815" s="2475"/>
      <c r="R815" s="2475"/>
      <c r="S815" s="2476"/>
      <c r="T815" s="2477">
        <f>AK338</f>
        <v>10</v>
      </c>
      <c r="U815" s="2477"/>
      <c r="V815" s="2477"/>
      <c r="W815" s="2477"/>
      <c r="X815" s="2477"/>
      <c r="Y815" s="2477"/>
      <c r="Z815" s="2486">
        <v>10</v>
      </c>
      <c r="AA815" s="2487"/>
      <c r="AB815" s="2487"/>
      <c r="AC815" s="2487"/>
      <c r="AD815" s="2487"/>
      <c r="AE815" s="2488"/>
      <c r="AF815" s="2486">
        <f>IF(T815&gt;Z815,Z815,T815)</f>
        <v>10</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83">
        <f>AK338</f>
        <v>10</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475" t="s">
        <v>845</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475" t="s">
        <v>1558</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475" t="s">
        <v>1580</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9" t="s">
        <v>1581</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1582</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1" t="s">
        <v>1583</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120</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Andrusz</cp:lastModifiedBy>
  <cp:lastPrinted>2025-05-16T11:36:21Z</cp:lastPrinted>
  <dcterms:created xsi:type="dcterms:W3CDTF">2007-12-27T18:26:28Z</dcterms:created>
  <dcterms:modified xsi:type="dcterms:W3CDTF">2025-05-19T20:59:38Z</dcterms:modified>
</cp:coreProperties>
</file>